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Документы\Документы\Индексы\№272-26.12.24 Р ТСН Смета на обслуживание шлагбаумов (Вячеслав Козлов)\"/>
    </mc:Choice>
  </mc:AlternateContent>
  <bookViews>
    <workbookView xWindow="0" yWindow="0" windowWidth="15840" windowHeight="11595" activeTab="1"/>
  </bookViews>
  <sheets>
    <sheet name="02-01-01" sheetId="7" r:id="rId1"/>
    <sheet name="Коммерческая смета" sheetId="8" r:id="rId2"/>
    <sheet name="Source" sheetId="1" state="hidden" r:id="rId3"/>
    <sheet name="SourceObSm" sheetId="2" state="hidden" r:id="rId4"/>
    <sheet name="SmtRes" sheetId="3" state="hidden" r:id="rId5"/>
    <sheet name="EtalonRes" sheetId="4" state="hidden" r:id="rId6"/>
    <sheet name="SrcPoprs" sheetId="5" state="hidden" r:id="rId7"/>
    <sheet name="SrcKA" sheetId="6" state="hidden" r:id="rId8"/>
  </sheets>
  <definedNames>
    <definedName name="_xlnm.Print_Titles" localSheetId="0">'02-01-01'!$34:$34</definedName>
    <definedName name="_xlnm.Print_Titles" localSheetId="1">'Коммерческая смета'!$11:$11</definedName>
    <definedName name="_xlnm.Print_Area" localSheetId="0">'02-01-01'!$A$1:$K$86</definedName>
    <definedName name="_xlnm.Print_Area" localSheetId="1">'Коммерческая смета'!$A$1:$I$63</definedName>
  </definedNames>
  <calcPr calcId="162913" iterate="1"/>
</workbook>
</file>

<file path=xl/calcChain.xml><?xml version="1.0" encoding="utf-8"?>
<calcChain xmlns="http://schemas.openxmlformats.org/spreadsheetml/2006/main">
  <c r="H55" i="8" l="1"/>
  <c r="H54" i="8"/>
  <c r="H53" i="8"/>
  <c r="H35" i="8"/>
  <c r="G35" i="8"/>
  <c r="I35" i="8" s="1"/>
  <c r="H22" i="8"/>
  <c r="G22" i="8"/>
  <c r="I22" i="8" s="1"/>
  <c r="I12" i="8"/>
  <c r="H12" i="8"/>
  <c r="G12" i="8"/>
  <c r="H84" i="7"/>
  <c r="H81" i="7"/>
  <c r="C84" i="7"/>
  <c r="C81" i="7"/>
  <c r="J78" i="7"/>
  <c r="C78" i="7"/>
  <c r="J77" i="7"/>
  <c r="C77" i="7"/>
  <c r="J76" i="7"/>
  <c r="C76" i="7"/>
  <c r="J75" i="7"/>
  <c r="C75" i="7"/>
  <c r="J29" i="7"/>
  <c r="J26" i="7"/>
  <c r="J25" i="7"/>
  <c r="J24" i="7"/>
  <c r="J21" i="7" s="1"/>
  <c r="J23" i="7"/>
  <c r="J22" i="7"/>
  <c r="I29" i="7"/>
  <c r="I24" i="7"/>
  <c r="H74" i="7"/>
  <c r="J74" i="7"/>
  <c r="H73" i="7"/>
  <c r="J73" i="7"/>
  <c r="AQ72" i="7"/>
  <c r="A72" i="7"/>
  <c r="Z69" i="7"/>
  <c r="Y69" i="7"/>
  <c r="X69" i="7"/>
  <c r="H68" i="7"/>
  <c r="J68" i="7"/>
  <c r="AB66" i="7"/>
  <c r="I66" i="7"/>
  <c r="H66" i="7"/>
  <c r="G66" i="7"/>
  <c r="E66" i="7"/>
  <c r="J65" i="7"/>
  <c r="I65" i="7"/>
  <c r="E65" i="7"/>
  <c r="J64" i="7"/>
  <c r="E64" i="7"/>
  <c r="J63" i="7"/>
  <c r="E63" i="7"/>
  <c r="K62" i="7"/>
  <c r="J62" i="7"/>
  <c r="I62" i="7"/>
  <c r="H62" i="7"/>
  <c r="G62" i="7"/>
  <c r="F62" i="7"/>
  <c r="K61" i="7"/>
  <c r="J61" i="7"/>
  <c r="I61" i="7"/>
  <c r="W61" i="7" s="1"/>
  <c r="H61" i="7"/>
  <c r="G61" i="7"/>
  <c r="F61" i="7"/>
  <c r="K60" i="7"/>
  <c r="J60" i="7"/>
  <c r="I60" i="7"/>
  <c r="H60" i="7"/>
  <c r="G60" i="7"/>
  <c r="F60" i="7"/>
  <c r="K59" i="7"/>
  <c r="J59" i="7"/>
  <c r="I59" i="7"/>
  <c r="H59" i="7"/>
  <c r="G59" i="7"/>
  <c r="F59" i="7"/>
  <c r="V58" i="7"/>
  <c r="K65" i="7" s="1"/>
  <c r="T58" i="7"/>
  <c r="K64" i="7" s="1"/>
  <c r="R58" i="7"/>
  <c r="K63" i="7" s="1"/>
  <c r="U58" i="7"/>
  <c r="S58" i="7"/>
  <c r="I64" i="7" s="1"/>
  <c r="Q58" i="7"/>
  <c r="I63" i="7" s="1"/>
  <c r="E58" i="7"/>
  <c r="D58" i="7"/>
  <c r="B58" i="7"/>
  <c r="Z56" i="7"/>
  <c r="Y56" i="7"/>
  <c r="X56" i="7"/>
  <c r="H55" i="7"/>
  <c r="J55" i="7"/>
  <c r="AB53" i="7"/>
  <c r="I53" i="7"/>
  <c r="H53" i="7"/>
  <c r="G53" i="7"/>
  <c r="E53" i="7"/>
  <c r="J52" i="7"/>
  <c r="I52" i="7"/>
  <c r="E52" i="7"/>
  <c r="J51" i="7"/>
  <c r="E51" i="7"/>
  <c r="J50" i="7"/>
  <c r="E50" i="7"/>
  <c r="K49" i="7"/>
  <c r="J49" i="7"/>
  <c r="I49" i="7"/>
  <c r="H49" i="7"/>
  <c r="G49" i="7"/>
  <c r="F49" i="7"/>
  <c r="K48" i="7"/>
  <c r="J48" i="7"/>
  <c r="I48" i="7"/>
  <c r="W48" i="7" s="1"/>
  <c r="H48" i="7"/>
  <c r="G48" i="7"/>
  <c r="F48" i="7"/>
  <c r="K47" i="7"/>
  <c r="J47" i="7"/>
  <c r="I47" i="7"/>
  <c r="AA56" i="7" s="1"/>
  <c r="H47" i="7"/>
  <c r="G47" i="7"/>
  <c r="F47" i="7"/>
  <c r="K46" i="7"/>
  <c r="J56" i="7" s="1"/>
  <c r="J46" i="7"/>
  <c r="I46" i="7"/>
  <c r="H46" i="7"/>
  <c r="G46" i="7"/>
  <c r="F46" i="7"/>
  <c r="V45" i="7"/>
  <c r="K52" i="7" s="1"/>
  <c r="T45" i="7"/>
  <c r="K51" i="7" s="1"/>
  <c r="R45" i="7"/>
  <c r="K50" i="7" s="1"/>
  <c r="U45" i="7"/>
  <c r="S45" i="7"/>
  <c r="I51" i="7" s="1"/>
  <c r="Q45" i="7"/>
  <c r="I50" i="7" s="1"/>
  <c r="E45" i="7"/>
  <c r="D45" i="7"/>
  <c r="B45" i="7"/>
  <c r="Z43" i="7"/>
  <c r="Y43" i="7"/>
  <c r="I23" i="7" s="1"/>
  <c r="X43" i="7"/>
  <c r="I22" i="7" s="1"/>
  <c r="H42" i="7"/>
  <c r="J42" i="7"/>
  <c r="AB40" i="7"/>
  <c r="I27" i="7" s="1"/>
  <c r="I40" i="7"/>
  <c r="H40" i="7"/>
  <c r="G40" i="7"/>
  <c r="E40" i="7"/>
  <c r="J39" i="7"/>
  <c r="I39" i="7"/>
  <c r="E39" i="7"/>
  <c r="J38" i="7"/>
  <c r="E38" i="7"/>
  <c r="K37" i="7"/>
  <c r="J37" i="7"/>
  <c r="I37" i="7"/>
  <c r="H41" i="7" s="1"/>
  <c r="H37" i="7"/>
  <c r="G37" i="7"/>
  <c r="F37" i="7"/>
  <c r="K36" i="7"/>
  <c r="J36" i="7"/>
  <c r="I36" i="7"/>
  <c r="H36" i="7"/>
  <c r="G36" i="7"/>
  <c r="F36" i="7"/>
  <c r="V35" i="7"/>
  <c r="T35" i="7"/>
  <c r="K39" i="7" s="1"/>
  <c r="R35" i="7"/>
  <c r="K38" i="7" s="1"/>
  <c r="P43" i="7" s="1"/>
  <c r="U35" i="7"/>
  <c r="S35" i="7"/>
  <c r="Q35" i="7"/>
  <c r="I38" i="7" s="1"/>
  <c r="E35" i="7"/>
  <c r="D35" i="7"/>
  <c r="B35" i="7"/>
  <c r="A18" i="7"/>
  <c r="A15" i="7"/>
  <c r="A13" i="7"/>
  <c r="G6" i="7"/>
  <c r="B6" i="7"/>
  <c r="A1" i="7"/>
  <c r="J43" i="7" l="1"/>
  <c r="H69" i="7"/>
  <c r="AA43" i="7"/>
  <c r="O43" i="7"/>
  <c r="H43" i="7"/>
  <c r="H56" i="7"/>
  <c r="J69" i="7"/>
  <c r="O69" i="7"/>
  <c r="AA69" i="7"/>
  <c r="J54" i="7"/>
  <c r="J67" i="7"/>
  <c r="H67" i="7"/>
  <c r="P56" i="7"/>
  <c r="J72" i="7" s="1"/>
  <c r="O56" i="7"/>
  <c r="P69" i="7"/>
  <c r="W46" i="7"/>
  <c r="W59" i="7"/>
  <c r="J41" i="7"/>
  <c r="H54" i="7"/>
  <c r="W36" i="7"/>
  <c r="A1" i="4"/>
  <c r="A2" i="4"/>
  <c r="A3" i="4"/>
  <c r="A4" i="4"/>
  <c r="A5" i="4"/>
  <c r="A6" i="4"/>
  <c r="A7" i="4"/>
  <c r="A8" i="4"/>
  <c r="A9" i="4"/>
  <c r="A10" i="4"/>
  <c r="A11" i="4"/>
  <c r="A12" i="4"/>
  <c r="A13" i="4"/>
  <c r="A1" i="3"/>
  <c r="Y1" i="3"/>
  <c r="CX1" i="3" s="1"/>
  <c r="CU1" i="3"/>
  <c r="CV1" i="3"/>
  <c r="CY1" i="3"/>
  <c r="CZ1" i="3"/>
  <c r="DB1" i="3" s="1"/>
  <c r="DA1" i="3"/>
  <c r="DC1" i="3"/>
  <c r="A2" i="3"/>
  <c r="Y2" i="3"/>
  <c r="CX2" i="3"/>
  <c r="DG2" i="3" s="1"/>
  <c r="CY2" i="3"/>
  <c r="CZ2" i="3"/>
  <c r="DB2" i="3" s="1"/>
  <c r="DA2" i="3"/>
  <c r="DC2" i="3"/>
  <c r="DF2" i="3"/>
  <c r="DH2" i="3"/>
  <c r="DJ2" i="3"/>
  <c r="A3" i="3"/>
  <c r="Y3" i="3"/>
  <c r="CX3" i="3" s="1"/>
  <c r="CY3" i="3"/>
  <c r="CZ3" i="3"/>
  <c r="DA3" i="3"/>
  <c r="DB3" i="3"/>
  <c r="DC3" i="3"/>
  <c r="A4" i="3"/>
  <c r="Y4" i="3"/>
  <c r="CV4" i="3" s="1"/>
  <c r="CU4" i="3"/>
  <c r="CX4" i="3"/>
  <c r="DG4" i="3" s="1"/>
  <c r="CY4" i="3"/>
  <c r="CZ4" i="3"/>
  <c r="DB4" i="3" s="1"/>
  <c r="DA4" i="3"/>
  <c r="DC4" i="3"/>
  <c r="DF4" i="3"/>
  <c r="DH4" i="3"/>
  <c r="A5" i="3"/>
  <c r="Y5" i="3"/>
  <c r="CW5" i="3" s="1"/>
  <c r="CX5" i="3"/>
  <c r="DI5" i="3" s="1"/>
  <c r="CY5" i="3"/>
  <c r="CZ5" i="3"/>
  <c r="DA5" i="3"/>
  <c r="DB5" i="3"/>
  <c r="DC5" i="3"/>
  <c r="DH5" i="3"/>
  <c r="A6" i="3"/>
  <c r="Y6" i="3"/>
  <c r="CX6" i="3" s="1"/>
  <c r="CY6" i="3"/>
  <c r="CZ6" i="3"/>
  <c r="DB6" i="3" s="1"/>
  <c r="DA6" i="3"/>
  <c r="DC6" i="3"/>
  <c r="A7" i="3"/>
  <c r="Y7" i="3"/>
  <c r="CX7" i="3"/>
  <c r="DG7" i="3" s="1"/>
  <c r="CY7" i="3"/>
  <c r="CZ7" i="3"/>
  <c r="DB7" i="3" s="1"/>
  <c r="DA7" i="3"/>
  <c r="DC7" i="3"/>
  <c r="DF7" i="3"/>
  <c r="DH7" i="3"/>
  <c r="DJ7" i="3"/>
  <c r="A8" i="3"/>
  <c r="Y8" i="3"/>
  <c r="CX8" i="3" s="1"/>
  <c r="CY8" i="3"/>
  <c r="CZ8" i="3"/>
  <c r="DA8" i="3"/>
  <c r="DB8" i="3"/>
  <c r="DC8" i="3"/>
  <c r="A9" i="3"/>
  <c r="Y9" i="3"/>
  <c r="CV9" i="3" s="1"/>
  <c r="CU9" i="3"/>
  <c r="CX9" i="3"/>
  <c r="DG9" i="3" s="1"/>
  <c r="CY9" i="3"/>
  <c r="CZ9" i="3"/>
  <c r="DB9" i="3" s="1"/>
  <c r="DA9" i="3"/>
  <c r="DC9" i="3"/>
  <c r="DF9" i="3"/>
  <c r="DH9" i="3"/>
  <c r="A10" i="3"/>
  <c r="Y10" i="3"/>
  <c r="CW10" i="3" s="1"/>
  <c r="CX10" i="3"/>
  <c r="DI10" i="3" s="1"/>
  <c r="CY10" i="3"/>
  <c r="CZ10" i="3"/>
  <c r="DA10" i="3"/>
  <c r="DB10" i="3"/>
  <c r="DC10" i="3"/>
  <c r="DH10" i="3"/>
  <c r="A11" i="3"/>
  <c r="Y11" i="3"/>
  <c r="CX11" i="3" s="1"/>
  <c r="CY11" i="3"/>
  <c r="CZ11" i="3"/>
  <c r="DB11" i="3" s="1"/>
  <c r="DA11" i="3"/>
  <c r="DC11" i="3"/>
  <c r="A12" i="3"/>
  <c r="Y12" i="3"/>
  <c r="CX12" i="3"/>
  <c r="DG12" i="3" s="1"/>
  <c r="CY12" i="3"/>
  <c r="CZ12" i="3"/>
  <c r="DB12" i="3" s="1"/>
  <c r="DA12" i="3"/>
  <c r="DC12" i="3"/>
  <c r="DF12" i="3"/>
  <c r="DH12" i="3"/>
  <c r="DJ12" i="3"/>
  <c r="A13" i="3"/>
  <c r="Y13" i="3"/>
  <c r="CX13" i="3" s="1"/>
  <c r="CY13" i="3"/>
  <c r="CZ13" i="3"/>
  <c r="DA13" i="3"/>
  <c r="DB13" i="3"/>
  <c r="DC13" i="3"/>
  <c r="D12" i="1"/>
  <c r="E18" i="1"/>
  <c r="Z18" i="1"/>
  <c r="AA18" i="1"/>
  <c r="AB18" i="1"/>
  <c r="AC18" i="1"/>
  <c r="AD18" i="1"/>
  <c r="AE18" i="1"/>
  <c r="AF18" i="1"/>
  <c r="AG18" i="1"/>
  <c r="AH18" i="1"/>
  <c r="AI18" i="1"/>
  <c r="AJ18" i="1"/>
  <c r="AK18" i="1"/>
  <c r="AL18" i="1"/>
  <c r="AM18" i="1"/>
  <c r="AN18" i="1"/>
  <c r="BE18" i="1"/>
  <c r="BF18" i="1"/>
  <c r="BG18" i="1"/>
  <c r="BH18" i="1"/>
  <c r="BI18" i="1"/>
  <c r="BJ18" i="1"/>
  <c r="BK18" i="1"/>
  <c r="BL18" i="1"/>
  <c r="BM18" i="1"/>
  <c r="BN18" i="1"/>
  <c r="BO18" i="1"/>
  <c r="BP18" i="1"/>
  <c r="BQ18" i="1"/>
  <c r="BR18" i="1"/>
  <c r="BS18" i="1"/>
  <c r="BT18" i="1"/>
  <c r="BU18" i="1"/>
  <c r="BV18" i="1"/>
  <c r="BW18" i="1"/>
  <c r="BX18" i="1"/>
  <c r="BY18" i="1"/>
  <c r="BZ18" i="1"/>
  <c r="CA18" i="1"/>
  <c r="CB18" i="1"/>
  <c r="CC18" i="1"/>
  <c r="CD18" i="1"/>
  <c r="CE18" i="1"/>
  <c r="CF18" i="1"/>
  <c r="CG18" i="1"/>
  <c r="CH18" i="1"/>
  <c r="CI18" i="1"/>
  <c r="CJ18" i="1"/>
  <c r="CK18" i="1"/>
  <c r="CL18" i="1"/>
  <c r="CM18" i="1"/>
  <c r="CN18" i="1"/>
  <c r="CO18" i="1"/>
  <c r="CP18" i="1"/>
  <c r="CQ18" i="1"/>
  <c r="CR18" i="1"/>
  <c r="CS18" i="1"/>
  <c r="CT18" i="1"/>
  <c r="CU18" i="1"/>
  <c r="CV18" i="1"/>
  <c r="CW18" i="1"/>
  <c r="CX18" i="1"/>
  <c r="CY18" i="1"/>
  <c r="CZ18" i="1"/>
  <c r="DA18" i="1"/>
  <c r="DB18" i="1"/>
  <c r="DC18" i="1"/>
  <c r="DD18" i="1"/>
  <c r="DE18" i="1"/>
  <c r="DF18" i="1"/>
  <c r="DG18" i="1"/>
  <c r="DH18" i="1"/>
  <c r="DI18" i="1"/>
  <c r="DJ18" i="1"/>
  <c r="DK18" i="1"/>
  <c r="DL18" i="1"/>
  <c r="DM18" i="1"/>
  <c r="DN18" i="1"/>
  <c r="DO18" i="1"/>
  <c r="DP18" i="1"/>
  <c r="DQ18" i="1"/>
  <c r="DR18" i="1"/>
  <c r="DS18" i="1"/>
  <c r="DT18" i="1"/>
  <c r="DU18" i="1"/>
  <c r="DV18" i="1"/>
  <c r="DW18" i="1"/>
  <c r="DX18" i="1"/>
  <c r="DY18" i="1"/>
  <c r="DZ18" i="1"/>
  <c r="EA18" i="1"/>
  <c r="EB18" i="1"/>
  <c r="EC18" i="1"/>
  <c r="ED18" i="1"/>
  <c r="EE18" i="1"/>
  <c r="EF18" i="1"/>
  <c r="EG18" i="1"/>
  <c r="EH18" i="1"/>
  <c r="EI18" i="1"/>
  <c r="EJ18" i="1"/>
  <c r="EK18" i="1"/>
  <c r="EL18" i="1"/>
  <c r="EM18" i="1"/>
  <c r="EN18" i="1"/>
  <c r="EO18" i="1"/>
  <c r="EP18" i="1"/>
  <c r="EQ18" i="1"/>
  <c r="ER18" i="1"/>
  <c r="ES18" i="1"/>
  <c r="ET18" i="1"/>
  <c r="EU18" i="1"/>
  <c r="EV18" i="1"/>
  <c r="EW18" i="1"/>
  <c r="EX18" i="1"/>
  <c r="EY18" i="1"/>
  <c r="EZ18" i="1"/>
  <c r="FA18" i="1"/>
  <c r="FB18" i="1"/>
  <c r="FC18" i="1"/>
  <c r="FD18" i="1"/>
  <c r="FE18" i="1"/>
  <c r="FF18" i="1"/>
  <c r="FG18" i="1"/>
  <c r="FH18" i="1"/>
  <c r="FI18" i="1"/>
  <c r="FJ18" i="1"/>
  <c r="FK18" i="1"/>
  <c r="FL18" i="1"/>
  <c r="FM18" i="1"/>
  <c r="FN18" i="1"/>
  <c r="FO18" i="1"/>
  <c r="FP18" i="1"/>
  <c r="FQ18" i="1"/>
  <c r="FR18" i="1"/>
  <c r="FS18" i="1"/>
  <c r="FT18" i="1"/>
  <c r="FU18" i="1"/>
  <c r="FV18" i="1"/>
  <c r="FW18" i="1"/>
  <c r="FX18" i="1"/>
  <c r="FY18" i="1"/>
  <c r="FZ18" i="1"/>
  <c r="GA18" i="1"/>
  <c r="GB18" i="1"/>
  <c r="GC18" i="1"/>
  <c r="GD18" i="1"/>
  <c r="GE18" i="1"/>
  <c r="GF18" i="1"/>
  <c r="GG18" i="1"/>
  <c r="GH18" i="1"/>
  <c r="GI18" i="1"/>
  <c r="GJ18" i="1"/>
  <c r="GK18" i="1"/>
  <c r="GL18" i="1"/>
  <c r="GM18" i="1"/>
  <c r="GN18" i="1"/>
  <c r="GO18" i="1"/>
  <c r="GP18" i="1"/>
  <c r="GQ18" i="1"/>
  <c r="GR18" i="1"/>
  <c r="GS18" i="1"/>
  <c r="GT18" i="1"/>
  <c r="GU18" i="1"/>
  <c r="GV18" i="1"/>
  <c r="GW18" i="1"/>
  <c r="GX18" i="1"/>
  <c r="D20" i="1"/>
  <c r="E22" i="1"/>
  <c r="Z22" i="1"/>
  <c r="AA22" i="1"/>
  <c r="AM22" i="1"/>
  <c r="AN22" i="1"/>
  <c r="BE22" i="1"/>
  <c r="BF22" i="1"/>
  <c r="BG22" i="1"/>
  <c r="BH22" i="1"/>
  <c r="BI22" i="1"/>
  <c r="BJ22" i="1"/>
  <c r="BK22" i="1"/>
  <c r="BL22" i="1"/>
  <c r="BM22" i="1"/>
  <c r="BN22" i="1"/>
  <c r="BO22" i="1"/>
  <c r="BP22" i="1"/>
  <c r="BQ22" i="1"/>
  <c r="BR22" i="1"/>
  <c r="BS22" i="1"/>
  <c r="BT22" i="1"/>
  <c r="BU22" i="1"/>
  <c r="BV22" i="1"/>
  <c r="BW22" i="1"/>
  <c r="CN22" i="1"/>
  <c r="CO22" i="1"/>
  <c r="CP22" i="1"/>
  <c r="CQ22" i="1"/>
  <c r="CR22" i="1"/>
  <c r="CS22" i="1"/>
  <c r="CT22" i="1"/>
  <c r="CU22" i="1"/>
  <c r="CV22" i="1"/>
  <c r="CW22" i="1"/>
  <c r="CX22" i="1"/>
  <c r="CY22" i="1"/>
  <c r="CZ22" i="1"/>
  <c r="DA22" i="1"/>
  <c r="DB22" i="1"/>
  <c r="DC22" i="1"/>
  <c r="DD22" i="1"/>
  <c r="DE22" i="1"/>
  <c r="DF22" i="1"/>
  <c r="DG22" i="1"/>
  <c r="DH22" i="1"/>
  <c r="DI22" i="1"/>
  <c r="DJ22" i="1"/>
  <c r="DK22" i="1"/>
  <c r="DL22" i="1"/>
  <c r="DM22" i="1"/>
  <c r="DN22" i="1"/>
  <c r="DO22" i="1"/>
  <c r="DP22" i="1"/>
  <c r="DQ22" i="1"/>
  <c r="DR22" i="1"/>
  <c r="DS22" i="1"/>
  <c r="DT22" i="1"/>
  <c r="DU22" i="1"/>
  <c r="DV22" i="1"/>
  <c r="DW22" i="1"/>
  <c r="DX22" i="1"/>
  <c r="DY22" i="1"/>
  <c r="DZ22" i="1"/>
  <c r="EA22" i="1"/>
  <c r="EB22" i="1"/>
  <c r="EC22" i="1"/>
  <c r="ED22" i="1"/>
  <c r="EE22" i="1"/>
  <c r="EF22" i="1"/>
  <c r="EG22" i="1"/>
  <c r="EH22" i="1"/>
  <c r="EI22" i="1"/>
  <c r="EJ22" i="1"/>
  <c r="EK22" i="1"/>
  <c r="EL22" i="1"/>
  <c r="EM22" i="1"/>
  <c r="EN22" i="1"/>
  <c r="EO22" i="1"/>
  <c r="EP22" i="1"/>
  <c r="EQ22" i="1"/>
  <c r="ER22" i="1"/>
  <c r="ES22" i="1"/>
  <c r="ET22" i="1"/>
  <c r="EU22" i="1"/>
  <c r="EV22" i="1"/>
  <c r="EW22" i="1"/>
  <c r="EX22" i="1"/>
  <c r="EY22" i="1"/>
  <c r="EZ22" i="1"/>
  <c r="FA22" i="1"/>
  <c r="FB22" i="1"/>
  <c r="FC22" i="1"/>
  <c r="FD22" i="1"/>
  <c r="FE22" i="1"/>
  <c r="FF22" i="1"/>
  <c r="FG22" i="1"/>
  <c r="FH22" i="1"/>
  <c r="FI22" i="1"/>
  <c r="FJ22" i="1"/>
  <c r="FK22" i="1"/>
  <c r="FL22" i="1"/>
  <c r="FM22" i="1"/>
  <c r="FN22" i="1"/>
  <c r="FO22" i="1"/>
  <c r="FP22" i="1"/>
  <c r="FQ22" i="1"/>
  <c r="FR22" i="1"/>
  <c r="FS22" i="1"/>
  <c r="FT22" i="1"/>
  <c r="FU22" i="1"/>
  <c r="FV22" i="1"/>
  <c r="FW22" i="1"/>
  <c r="FX22" i="1"/>
  <c r="FY22" i="1"/>
  <c r="FZ22" i="1"/>
  <c r="GA22" i="1"/>
  <c r="GB22" i="1"/>
  <c r="GC22" i="1"/>
  <c r="GD22" i="1"/>
  <c r="GE22" i="1"/>
  <c r="GF22" i="1"/>
  <c r="GG22" i="1"/>
  <c r="GH22" i="1"/>
  <c r="GI22" i="1"/>
  <c r="GJ22" i="1"/>
  <c r="GK22" i="1"/>
  <c r="GL22" i="1"/>
  <c r="GM22" i="1"/>
  <c r="GN22" i="1"/>
  <c r="GO22" i="1"/>
  <c r="GP22" i="1"/>
  <c r="GQ22" i="1"/>
  <c r="GR22" i="1"/>
  <c r="GS22" i="1"/>
  <c r="GT22" i="1"/>
  <c r="GU22" i="1"/>
  <c r="GV22" i="1"/>
  <c r="GW22" i="1"/>
  <c r="GX22" i="1"/>
  <c r="C24" i="1"/>
  <c r="D24" i="1"/>
  <c r="S24" i="1"/>
  <c r="AC24" i="1"/>
  <c r="AE24" i="1"/>
  <c r="Q24" i="1" s="1"/>
  <c r="AF24" i="1"/>
  <c r="AG24" i="1"/>
  <c r="CU24" i="1" s="1"/>
  <c r="T24" i="1" s="1"/>
  <c r="AH24" i="1"/>
  <c r="AI24" i="1"/>
  <c r="CW24" i="1" s="1"/>
  <c r="V24" i="1" s="1"/>
  <c r="AJ24" i="1"/>
  <c r="CR24" i="1"/>
  <c r="CT24" i="1"/>
  <c r="CV24" i="1"/>
  <c r="U24" i="1" s="1"/>
  <c r="CX24" i="1"/>
  <c r="W24" i="1" s="1"/>
  <c r="CY24" i="1"/>
  <c r="X24" i="1" s="1"/>
  <c r="CZ24" i="1"/>
  <c r="Y24" i="1" s="1"/>
  <c r="FR24" i="1"/>
  <c r="GL24" i="1"/>
  <c r="GN24" i="1"/>
  <c r="GO24" i="1"/>
  <c r="GV24" i="1"/>
  <c r="HC24" i="1" s="1"/>
  <c r="GX24" i="1" s="1"/>
  <c r="C25" i="1"/>
  <c r="D25" i="1"/>
  <c r="R25" i="1"/>
  <c r="GK25" i="1" s="1"/>
  <c r="AC25" i="1"/>
  <c r="P25" i="1" s="1"/>
  <c r="AE25" i="1"/>
  <c r="AD25" i="1" s="1"/>
  <c r="AB25" i="1" s="1"/>
  <c r="AF25" i="1"/>
  <c r="S25" i="1" s="1"/>
  <c r="AG25" i="1"/>
  <c r="CU25" i="1" s="1"/>
  <c r="T25" i="1" s="1"/>
  <c r="AH25" i="1"/>
  <c r="AI25" i="1"/>
  <c r="AJ25" i="1"/>
  <c r="CX25" i="1" s="1"/>
  <c r="W25" i="1" s="1"/>
  <c r="CR25" i="1"/>
  <c r="CS25" i="1"/>
  <c r="CV25" i="1"/>
  <c r="U25" i="1" s="1"/>
  <c r="CW25" i="1"/>
  <c r="V25" i="1" s="1"/>
  <c r="FR25" i="1"/>
  <c r="GL25" i="1"/>
  <c r="GN25" i="1"/>
  <c r="GO25" i="1"/>
  <c r="GV25" i="1"/>
  <c r="HC25" i="1" s="1"/>
  <c r="GX25" i="1" s="1"/>
  <c r="C26" i="1"/>
  <c r="D26" i="1"/>
  <c r="R26" i="1"/>
  <c r="S26" i="1"/>
  <c r="CY26" i="1" s="1"/>
  <c r="X26" i="1" s="1"/>
  <c r="AC26" i="1"/>
  <c r="P26" i="1" s="1"/>
  <c r="AD26" i="1"/>
  <c r="AE26" i="1"/>
  <c r="Q26" i="1" s="1"/>
  <c r="AF26" i="1"/>
  <c r="AG26" i="1"/>
  <c r="CU26" i="1" s="1"/>
  <c r="T26" i="1" s="1"/>
  <c r="AH26" i="1"/>
  <c r="AI26" i="1"/>
  <c r="AJ26" i="1"/>
  <c r="CR26" i="1"/>
  <c r="CS26" i="1"/>
  <c r="CT26" i="1"/>
  <c r="CV26" i="1"/>
  <c r="U26" i="1" s="1"/>
  <c r="CW26" i="1"/>
  <c r="V26" i="1" s="1"/>
  <c r="CX26" i="1"/>
  <c r="W26" i="1" s="1"/>
  <c r="FR26" i="1"/>
  <c r="GK26" i="1"/>
  <c r="GL26" i="1"/>
  <c r="GN26" i="1"/>
  <c r="GO26" i="1"/>
  <c r="GV26" i="1"/>
  <c r="HC26" i="1"/>
  <c r="GX26" i="1" s="1"/>
  <c r="B28" i="1"/>
  <c r="B22" i="1" s="1"/>
  <c r="C28" i="1"/>
  <c r="C22" i="1" s="1"/>
  <c r="D28" i="1"/>
  <c r="D22" i="1" s="1"/>
  <c r="F28" i="1"/>
  <c r="F22" i="1" s="1"/>
  <c r="G28" i="1"/>
  <c r="G22" i="1" s="1"/>
  <c r="BX28" i="1"/>
  <c r="AO28" i="1" s="1"/>
  <c r="BY28" i="1"/>
  <c r="AP28" i="1" s="1"/>
  <c r="BZ28" i="1"/>
  <c r="AQ28" i="1" s="1"/>
  <c r="CB28" i="1"/>
  <c r="AS28" i="1" s="1"/>
  <c r="CC28" i="1"/>
  <c r="AT28" i="1" s="1"/>
  <c r="CG28" i="1"/>
  <c r="AX28" i="1" s="1"/>
  <c r="CK28" i="1"/>
  <c r="BB28" i="1" s="1"/>
  <c r="CL28" i="1"/>
  <c r="BC28" i="1" s="1"/>
  <c r="CM28" i="1"/>
  <c r="CM22" i="1" s="1"/>
  <c r="B62" i="1"/>
  <c r="B18" i="1" s="1"/>
  <c r="C62" i="1"/>
  <c r="C18" i="1" s="1"/>
  <c r="D62" i="1"/>
  <c r="D18" i="1" s="1"/>
  <c r="F62" i="1"/>
  <c r="F18" i="1" s="1"/>
  <c r="G62" i="1"/>
  <c r="G18" i="1" s="1"/>
  <c r="AO62" i="1"/>
  <c r="AO18" i="1" s="1"/>
  <c r="AP62" i="1"/>
  <c r="AP18" i="1" s="1"/>
  <c r="AQ62" i="1"/>
  <c r="AQ18" i="1" s="1"/>
  <c r="AS62" i="1"/>
  <c r="AS18" i="1" s="1"/>
  <c r="AX62" i="1"/>
  <c r="AX18" i="1" s="1"/>
  <c r="BB62" i="1"/>
  <c r="BB18" i="1" s="1"/>
  <c r="BC62" i="1"/>
  <c r="BC18" i="1" s="1"/>
  <c r="F69" i="1"/>
  <c r="F71" i="1"/>
  <c r="F72" i="1"/>
  <c r="F75" i="1"/>
  <c r="F78" i="1"/>
  <c r="F12" i="6"/>
  <c r="G12" i="6"/>
  <c r="CY12" i="6"/>
  <c r="I25" i="7" l="1"/>
  <c r="I21" i="7" s="1"/>
  <c r="H72" i="7"/>
  <c r="I26" i="7"/>
  <c r="F46" i="1"/>
  <c r="F16" i="2" s="1"/>
  <c r="F18" i="2" s="1"/>
  <c r="AT22" i="1"/>
  <c r="AO22" i="1"/>
  <c r="F32" i="1"/>
  <c r="AF28" i="1"/>
  <c r="CY25" i="1"/>
  <c r="X25" i="1" s="1"/>
  <c r="CZ25" i="1"/>
  <c r="Y25" i="1" s="1"/>
  <c r="AK28" i="1"/>
  <c r="AG28" i="1"/>
  <c r="F79" i="1"/>
  <c r="BC22" i="1"/>
  <c r="F44" i="1"/>
  <c r="AS22" i="1"/>
  <c r="F45" i="1"/>
  <c r="E16" i="2" s="1"/>
  <c r="AJ28" i="1"/>
  <c r="DI8" i="3"/>
  <c r="DF8" i="3"/>
  <c r="DJ8" i="3" s="1"/>
  <c r="DG8" i="3"/>
  <c r="DH8" i="3"/>
  <c r="DG6" i="3"/>
  <c r="DH6" i="3"/>
  <c r="DI6" i="3"/>
  <c r="DF6" i="3"/>
  <c r="DJ6" i="3" s="1"/>
  <c r="DG1" i="3"/>
  <c r="DH1" i="3"/>
  <c r="DI1" i="3"/>
  <c r="DJ1" i="3" s="1"/>
  <c r="DF1" i="3"/>
  <c r="F66" i="1"/>
  <c r="BB22" i="1"/>
  <c r="F41" i="1"/>
  <c r="AQ22" i="1"/>
  <c r="F38" i="1"/>
  <c r="CP26" i="1"/>
  <c r="O26" i="1" s="1"/>
  <c r="CJ28" i="1"/>
  <c r="AH28" i="1"/>
  <c r="AI28" i="1"/>
  <c r="AT62" i="1"/>
  <c r="F35" i="1"/>
  <c r="AX22" i="1"/>
  <c r="AP22" i="1"/>
  <c r="F37" i="1"/>
  <c r="G16" i="2" s="1"/>
  <c r="G18" i="2" s="1"/>
  <c r="DI13" i="3"/>
  <c r="DF13" i="3"/>
  <c r="DJ13" i="3" s="1"/>
  <c r="DG13" i="3"/>
  <c r="DH13" i="3"/>
  <c r="DG11" i="3"/>
  <c r="DH11" i="3"/>
  <c r="DI11" i="3"/>
  <c r="DF11" i="3"/>
  <c r="DJ11" i="3" s="1"/>
  <c r="DI3" i="3"/>
  <c r="DF3" i="3"/>
  <c r="DJ3" i="3" s="1"/>
  <c r="DG3" i="3"/>
  <c r="DH3" i="3"/>
  <c r="CI28" i="1"/>
  <c r="BD28" i="1"/>
  <c r="AB26" i="1"/>
  <c r="Q25" i="1"/>
  <c r="CP25" i="1" s="1"/>
  <c r="O25" i="1" s="1"/>
  <c r="GM25" i="1" s="1"/>
  <c r="GP25" i="1" s="1"/>
  <c r="CQ24" i="1"/>
  <c r="AD24" i="1"/>
  <c r="AB24" i="1" s="1"/>
  <c r="P24" i="1"/>
  <c r="CL22" i="1"/>
  <c r="BZ22" i="1"/>
  <c r="DI12" i="3"/>
  <c r="DG10" i="3"/>
  <c r="DJ10" i="3" s="1"/>
  <c r="DI9" i="3"/>
  <c r="DJ9" i="3" s="1"/>
  <c r="DI7" i="3"/>
  <c r="DG5" i="3"/>
  <c r="DJ5" i="3" s="1"/>
  <c r="DI4" i="3"/>
  <c r="DJ4" i="3" s="1"/>
  <c r="DI2" i="3"/>
  <c r="CZ26" i="1"/>
  <c r="Y26" i="1" s="1"/>
  <c r="AL28" i="1" s="1"/>
  <c r="CQ25" i="1"/>
  <c r="CK22" i="1"/>
  <c r="CG22" i="1"/>
  <c r="CC22" i="1"/>
  <c r="BY22" i="1"/>
  <c r="DF10" i="3"/>
  <c r="DF5" i="3"/>
  <c r="CQ26" i="1"/>
  <c r="CT25" i="1"/>
  <c r="CS24" i="1"/>
  <c r="R24" i="1"/>
  <c r="CB22" i="1"/>
  <c r="BX22" i="1"/>
  <c r="Y28" i="1" l="1"/>
  <c r="AL22" i="1"/>
  <c r="CP24" i="1"/>
  <c r="O24" i="1" s="1"/>
  <c r="AC28" i="1"/>
  <c r="U28" i="1"/>
  <c r="AH22" i="1"/>
  <c r="AK22" i="1"/>
  <c r="X28" i="1"/>
  <c r="BD22" i="1"/>
  <c r="F53" i="1"/>
  <c r="BD62" i="1"/>
  <c r="AT18" i="1"/>
  <c r="F80" i="1"/>
  <c r="BA28" i="1"/>
  <c r="CJ22" i="1"/>
  <c r="AJ22" i="1"/>
  <c r="W28" i="1"/>
  <c r="CI22" i="1"/>
  <c r="AZ28" i="1"/>
  <c r="AD28" i="1"/>
  <c r="E18" i="2"/>
  <c r="AE28" i="1"/>
  <c r="GK24" i="1"/>
  <c r="AI22" i="1"/>
  <c r="V28" i="1"/>
  <c r="GM26" i="1"/>
  <c r="GP26" i="1" s="1"/>
  <c r="AG22" i="1"/>
  <c r="T28" i="1"/>
  <c r="AF22" i="1"/>
  <c r="S28" i="1"/>
  <c r="CF28" i="1" l="1"/>
  <c r="AC22" i="1"/>
  <c r="CH28" i="1"/>
  <c r="P28" i="1"/>
  <c r="CE28" i="1"/>
  <c r="BD18" i="1"/>
  <c r="F87" i="1"/>
  <c r="AE22" i="1"/>
  <c r="R28" i="1"/>
  <c r="BA22" i="1"/>
  <c r="F48" i="1"/>
  <c r="BA62" i="1"/>
  <c r="Q28" i="1"/>
  <c r="AD22" i="1"/>
  <c r="F54" i="1"/>
  <c r="X22" i="1"/>
  <c r="X62" i="1"/>
  <c r="S22" i="1"/>
  <c r="S62" i="1"/>
  <c r="F43" i="1"/>
  <c r="AZ22" i="1"/>
  <c r="F39" i="1"/>
  <c r="AZ62" i="1"/>
  <c r="GM24" i="1"/>
  <c r="AB28" i="1"/>
  <c r="F51" i="1"/>
  <c r="V22" i="1"/>
  <c r="V62" i="1"/>
  <c r="T22" i="1"/>
  <c r="F49" i="1"/>
  <c r="T62" i="1"/>
  <c r="W22" i="1"/>
  <c r="W62" i="1"/>
  <c r="F52" i="1"/>
  <c r="F50" i="1"/>
  <c r="U22" i="1"/>
  <c r="U62" i="1"/>
  <c r="F55" i="1"/>
  <c r="Y22" i="1"/>
  <c r="Y62" i="1"/>
  <c r="BA18" i="1" l="1"/>
  <c r="F82" i="1"/>
  <c r="P22" i="1"/>
  <c r="F31" i="1"/>
  <c r="P62" i="1"/>
  <c r="S18" i="1"/>
  <c r="F77" i="1"/>
  <c r="AY28" i="1"/>
  <c r="CH22" i="1"/>
  <c r="GP24" i="1"/>
  <c r="CD28" i="1" s="1"/>
  <c r="CA28" i="1"/>
  <c r="Y18" i="1"/>
  <c r="F89" i="1"/>
  <c r="V18" i="1"/>
  <c r="F85" i="1"/>
  <c r="T18" i="1"/>
  <c r="F83" i="1"/>
  <c r="AZ18" i="1"/>
  <c r="F73" i="1"/>
  <c r="U18" i="1"/>
  <c r="F84" i="1"/>
  <c r="W18" i="1"/>
  <c r="F86" i="1"/>
  <c r="AB22" i="1"/>
  <c r="O28" i="1"/>
  <c r="X18" i="1"/>
  <c r="F88" i="1"/>
  <c r="Q22" i="1"/>
  <c r="F40" i="1"/>
  <c r="Q62" i="1"/>
  <c r="F42" i="1"/>
  <c r="J16" i="2" s="1"/>
  <c r="J18" i="2" s="1"/>
  <c r="R22" i="1"/>
  <c r="R62" i="1"/>
  <c r="CE22" i="1"/>
  <c r="AV28" i="1"/>
  <c r="AW28" i="1"/>
  <c r="CF22" i="1"/>
  <c r="CA22" i="1" l="1"/>
  <c r="AR28" i="1"/>
  <c r="AV22" i="1"/>
  <c r="F33" i="1"/>
  <c r="AV62" i="1"/>
  <c r="Q18" i="1"/>
  <c r="F74" i="1"/>
  <c r="AU28" i="1"/>
  <c r="CD22" i="1"/>
  <c r="P18" i="1"/>
  <c r="F65" i="1"/>
  <c r="R18" i="1"/>
  <c r="F76" i="1"/>
  <c r="O22" i="1"/>
  <c r="F30" i="1"/>
  <c r="O62" i="1"/>
  <c r="F34" i="1"/>
  <c r="AW22" i="1"/>
  <c r="AW62" i="1"/>
  <c r="AY22" i="1"/>
  <c r="F36" i="1"/>
  <c r="AY62" i="1"/>
  <c r="AU22" i="1" l="1"/>
  <c r="F47" i="1"/>
  <c r="H16" i="2" s="1"/>
  <c r="AU62" i="1"/>
  <c r="AR22" i="1"/>
  <c r="F56" i="1"/>
  <c r="F57" i="1" s="1"/>
  <c r="F59" i="1" s="1"/>
  <c r="AR62" i="1"/>
  <c r="O18" i="1"/>
  <c r="F64" i="1"/>
  <c r="AW18" i="1"/>
  <c r="F68" i="1"/>
  <c r="AY18" i="1"/>
  <c r="F70" i="1"/>
  <c r="AV18" i="1"/>
  <c r="F67" i="1"/>
  <c r="AU18" i="1" l="1"/>
  <c r="F81" i="1"/>
  <c r="H18" i="2"/>
  <c r="I16" i="2"/>
  <c r="I18" i="2" s="1"/>
  <c r="AR18" i="1"/>
  <c r="F90" i="1"/>
  <c r="F91" i="1" s="1"/>
  <c r="F58" i="1"/>
  <c r="F60" i="1"/>
</calcChain>
</file>

<file path=xl/sharedStrings.xml><?xml version="1.0" encoding="utf-8"?>
<sst xmlns="http://schemas.openxmlformats.org/spreadsheetml/2006/main" count="977" uniqueCount="182">
  <si>
    <t>Smeta.RU Flash  (495) 974-1589</t>
  </si>
  <si>
    <t>_PS_</t>
  </si>
  <si>
    <t>Smeta.RU Flash</t>
  </si>
  <si>
    <t/>
  </si>
  <si>
    <t>Новый объект</t>
  </si>
  <si>
    <t>№272-26.12.24 Р ТСН Смета на обслуживание шлагбаумов (Вячеслав Козлов)</t>
  </si>
  <si>
    <t>Сметные нормы списания</t>
  </si>
  <si>
    <t>Коды ОКП для ТСН-2001 МГЭ Дополнение 74</t>
  </si>
  <si>
    <t>ТСН-2001 (МГЭ) Доп 74 - Ремонт</t>
  </si>
  <si>
    <t>Типовой расчет для ТСН-2001 МГЭ, Новая методика с выпуска доп. 43 (Ремонт), Доп 74</t>
  </si>
  <si>
    <t>Территориальные сметные нормативы для Москвы ТСН-2001 (МГЭ), дополнение 74</t>
  </si>
  <si>
    <t>Поправки для ТСН-2001 доп.74</t>
  </si>
  <si>
    <t>Территориальные сметные нормативы для Москвы (ТСН-2001)</t>
  </si>
  <si>
    <t>ТЕР</t>
  </si>
  <si>
    <t>02-01-01</t>
  </si>
  <si>
    <t>1</t>
  </si>
  <si>
    <t>14.11-256-3</t>
  </si>
  <si>
    <t>1  ШТ.</t>
  </si>
  <si>
    <t>ТСН-2001.14. Доп. 1-42. Сб. 11, т. 256, поз. 3</t>
  </si>
  <si>
    <t>Техническое обслуживание и ремонт оборудования городского хозяйства</t>
  </si>
  <si>
    <t>ТСН-2001.14-11. 11-256...11-261 (доп. 21)</t>
  </si>
  <si>
    <t>ТСН-2001.14-11-105</t>
  </si>
  <si>
    <t>2</t>
  </si>
  <si>
    <t>14.15-18-2</t>
  </si>
  <si>
    <t>ТСН-2001.14 Доп. 68, Сб. 15, т. 18, поз. 2</t>
  </si>
  <si>
    <t>ТСН-2001.14-15. 15-18-1, 15-18-2</t>
  </si>
  <si>
    <t>ТСН-2001.14-15-35</t>
  </si>
  <si>
    <t>3</t>
  </si>
  <si>
    <t>14.15-20-2</t>
  </si>
  <si>
    <t>Блок управления шлагбаумом, техническое обслуживание в т.ч. 1. Отключение питающего напряжения  2. Чистка блока, проверка состояния контактов  3. Подключение питающего напряжения  4. Проверка функционирования микропереключателями SW2 и SW3</t>
  </si>
  <si>
    <t>ТСН-2001.14 Доп. 68, Сб. 15, т. 20, поз. 2</t>
  </si>
  <si>
    <t>ТСН-2001.14-15. 15-20-1, 15-20-2</t>
  </si>
  <si>
    <t>ТСН-2001.14-15-39</t>
  </si>
  <si>
    <t>ПЗ</t>
  </si>
  <si>
    <t>Прямые затраты</t>
  </si>
  <si>
    <t>СтМатОб</t>
  </si>
  <si>
    <t>Стоимость материальных ресурсов (всего)</t>
  </si>
  <si>
    <t>СтМатОбЗак</t>
  </si>
  <si>
    <t>Стоимость материалов и оборудования заказчика</t>
  </si>
  <si>
    <t>СтМатОбПод</t>
  </si>
  <si>
    <t>Стоимость материалов и оборудования подрядчика</t>
  </si>
  <si>
    <t>СтМат</t>
  </si>
  <si>
    <t>Стоимость материалов (всего)</t>
  </si>
  <si>
    <t>СтМатЗак</t>
  </si>
  <si>
    <t>Стоимость материалов заказчика</t>
  </si>
  <si>
    <t>СтМатПод</t>
  </si>
  <si>
    <t>Стоимость материалов подрядчика</t>
  </si>
  <si>
    <t>Оборуд</t>
  </si>
  <si>
    <t>Стоимость оборудования (всего)</t>
  </si>
  <si>
    <t>ОборудЗак</t>
  </si>
  <si>
    <t>Стоимость оборудования заказчика</t>
  </si>
  <si>
    <t>ОборудПод</t>
  </si>
  <si>
    <t>Стоимость оборудования подрядчика</t>
  </si>
  <si>
    <t>ЭММ</t>
  </si>
  <si>
    <t>Эксплуатация машин</t>
  </si>
  <si>
    <t>ЭММсНРиСП</t>
  </si>
  <si>
    <t>Эксплуатация машин по ТСН-2001.16</t>
  </si>
  <si>
    <t>ЗПМ</t>
  </si>
  <si>
    <t>ЗП машинистов</t>
  </si>
  <si>
    <t>ОЗП</t>
  </si>
  <si>
    <t>Основная ЗП рабочих</t>
  </si>
  <si>
    <t>ОЗПсНРиСП</t>
  </si>
  <si>
    <t>Основная ЗП рабочих по ТСН-2001.16</t>
  </si>
  <si>
    <t>Строит</t>
  </si>
  <si>
    <t>Строительные работы с НР и СП</t>
  </si>
  <si>
    <t>Монтаж</t>
  </si>
  <si>
    <t>Монтажные работы с НР и СП</t>
  </si>
  <si>
    <t>Прочие</t>
  </si>
  <si>
    <t>Прочие работы с НР и СП</t>
  </si>
  <si>
    <t>ПрочиеЗатр</t>
  </si>
  <si>
    <t>Прочие затраты по ТСН-2001.16</t>
  </si>
  <si>
    <t>ВозврМат</t>
  </si>
  <si>
    <t>Возврат материалов</t>
  </si>
  <si>
    <t>ТрудСтр</t>
  </si>
  <si>
    <t>Трудозатраты строителей</t>
  </si>
  <si>
    <t>ТрудМаш</t>
  </si>
  <si>
    <t>Трудозатраты машинистов</t>
  </si>
  <si>
    <t>ТранспМат</t>
  </si>
  <si>
    <t>Транспорт материалов</t>
  </si>
  <si>
    <t>Перевозка</t>
  </si>
  <si>
    <t>Перевозка грузов</t>
  </si>
  <si>
    <t>НР</t>
  </si>
  <si>
    <t>Накладные расходы</t>
  </si>
  <si>
    <t>СмПриб</t>
  </si>
  <si>
    <t>Сметная прибыль</t>
  </si>
  <si>
    <t>Всего</t>
  </si>
  <si>
    <t>Всего с НР и СП</t>
  </si>
  <si>
    <t>и1</t>
  </si>
  <si>
    <t>Итого</t>
  </si>
  <si>
    <t>и4</t>
  </si>
  <si>
    <t>ТО 1 единицы оборудования (раз в квартал)</t>
  </si>
  <si>
    <t>и2</t>
  </si>
  <si>
    <t>ТО 9 единиц оборудования (раз в квартал)</t>
  </si>
  <si>
    <t>и3</t>
  </si>
  <si>
    <t>Общая стоимость ТО за отчетный период</t>
  </si>
  <si>
    <t>Инд_исп.Сводный</t>
  </si>
  <si>
    <t>Используется Индекс "по сводному"</t>
  </si>
  <si>
    <t>Уровень цен</t>
  </si>
  <si>
    <t>Сборник индексов</t>
  </si>
  <si>
    <t>Коэффициенты к ТСН-2001 МГЭ, ремонт</t>
  </si>
  <si>
    <t>213</t>
  </si>
  <si>
    <t>_OBSM_</t>
  </si>
  <si>
    <t>9999990008</t>
  </si>
  <si>
    <t>Трудозатраты рабочих</t>
  </si>
  <si>
    <t>чел.-ч.</t>
  </si>
  <si>
    <t>1.1-1-115</t>
  </si>
  <si>
    <t>ТСН-2001.1. Доп. 1-42. Р. 1, о. 1, поз. 115</t>
  </si>
  <si>
    <t>Ветошь</t>
  </si>
  <si>
    <t>кг</t>
  </si>
  <si>
    <t>1.1-1-348</t>
  </si>
  <si>
    <t>ТСН-2001.1. Доп. 1-42. Р. 1, о. 1, поз. 348</t>
  </si>
  <si>
    <t>Керосин</t>
  </si>
  <si>
    <t>т</t>
  </si>
  <si>
    <t>2.1-18-24</t>
  </si>
  <si>
    <t>ТСН-2001.2. Доп. 68. п.1-18-24 (183102)</t>
  </si>
  <si>
    <t>Автомобили грузопассажирские, грузоподъемность до 2 т</t>
  </si>
  <si>
    <t>маш.-ч</t>
  </si>
  <si>
    <t>1.1-1-1064</t>
  </si>
  <si>
    <t>ТСН-2001.1 Доп. 65, Р. 1, о. 1, поз. 1064</t>
  </si>
  <si>
    <t>Спирт этиловый технический</t>
  </si>
  <si>
    <t>1.1-1-659</t>
  </si>
  <si>
    <t>ТСН-2001.1 Доп. 70, Р. 1, о. 1, поз. 659</t>
  </si>
  <si>
    <t>Мыло жидкое</t>
  </si>
  <si>
    <t>Техническое обслуживание автоматического гидравлического шлагбаума в т.ч. 1. Регулировка концевых выключателей  2. Очистка от грязи фотоэлементов, концевых выключателей, блока управления, гидравлического привода  3. Проверка отдельных узлов  4. Проверка уровня масла  5. Проверка систем: безопасности, радиоканала</t>
  </si>
  <si>
    <t>Контроллер управления дорожным шлагбаумом RCP-B, техническое обслуживание в т.ч. 1. Проверка комплектности изделия, отсутствия повреждений, надежности креплений  2. Отключение питающего напряжения  3. Очистка внешних частей корпуса контроллера, очистка внутренних поверхностей контроллера кистью, проверка состояния контактов  4. Подача питающего напряжения  5. Проверка функционирования контроллера по командам из ЦУП</t>
  </si>
  <si>
    <t>"СОГЛАСОВАНО"</t>
  </si>
  <si>
    <t>"УТВЕРЖДАЮ"</t>
  </si>
  <si>
    <t>Форма № 4б</t>
  </si>
  <si>
    <t>"_____"________________ 2024 г.</t>
  </si>
  <si>
    <t>(наименование стройки и/или объекта)</t>
  </si>
  <si>
    <t>(наименование работ и затрат)</t>
  </si>
  <si>
    <t>В базисном уровне цен</t>
  </si>
  <si>
    <t>В текущем уровне цен</t>
  </si>
  <si>
    <t>Сметная стоимость</t>
  </si>
  <si>
    <t>Строительные работы</t>
  </si>
  <si>
    <t>Работы по монтажу оборудования</t>
  </si>
  <si>
    <t>Оборудование</t>
  </si>
  <si>
    <t>Прочие работы и затраты</t>
  </si>
  <si>
    <t>Средства на оплату труда</t>
  </si>
  <si>
    <t>Затраты труда</t>
  </si>
  <si>
    <t xml:space="preserve">Кроме того: </t>
  </si>
  <si>
    <t>№ п/п</t>
  </si>
  <si>
    <t>Шифр расценки и коды ресурсов</t>
  </si>
  <si>
    <t>Наименование работ и затрат</t>
  </si>
  <si>
    <t>Ед. изм.</t>
  </si>
  <si>
    <t>Кол-во
единиц</t>
  </si>
  <si>
    <t>Цена на
ед. изм.,
руб.</t>
  </si>
  <si>
    <t>Попра-
вочные
коэффи-
циенты</t>
  </si>
  <si>
    <t>Коэффи-
циенты
зимних
удорожа-
ний</t>
  </si>
  <si>
    <t>Всего
затрат в
базисном
уровне цен,
руб.</t>
  </si>
  <si>
    <t>Коэффи-
циенты
(индек-
сы) пере-
счета,
нормы
НР и СП</t>
  </si>
  <si>
    <t>ВСЕГО
затрат в
текущем
уровне цен,
руб.</t>
  </si>
  <si>
    <t>Составлен(а) по ТСН-2001 с учетом Дополнения №: 74</t>
  </si>
  <si>
    <t>№ и период сборника коэффициентов (индексов) пересчета: Коэффициенты к ТСН-2001 МГЭ, ремонт №213 IV квартал 2024 года</t>
  </si>
  <si>
    <t>ЗП</t>
  </si>
  <si>
    <t>МР</t>
  </si>
  <si>
    <t>НР от ЗП</t>
  </si>
  <si>
    <t>%</t>
  </si>
  <si>
    <t>СП от ЗП</t>
  </si>
  <si>
    <t>ЗТР</t>
  </si>
  <si>
    <t>чел-ч</t>
  </si>
  <si>
    <t>ВСЕГО работ по позиции:</t>
  </si>
  <si>
    <t>ВСЕГО оборудование по позиции:</t>
  </si>
  <si>
    <t>ВСЕГО по позиции:</t>
  </si>
  <si>
    <t>ЭМ</t>
  </si>
  <si>
    <t>в т.ч. ЗПМ</t>
  </si>
  <si>
    <t>НР и СП от ЗПМ</t>
  </si>
  <si>
    <t xml:space="preserve">   Итого по ТСН-2001.16</t>
  </si>
  <si>
    <t xml:space="preserve">   Итого возвратных сумм</t>
  </si>
  <si>
    <t xml:space="preserve"> тыс.руб.</t>
  </si>
  <si>
    <t xml:space="preserve">Составил   </t>
  </si>
  <si>
    <t>(должность, подпись, инициалы, фамилия)</t>
  </si>
  <si>
    <t xml:space="preserve">Проверил   </t>
  </si>
  <si>
    <t>ЛОКАЛЬНАЯ СМЕТА № 02-01-01</t>
  </si>
  <si>
    <t>Итого по локальной смете: №272-26.12.24 Р ТСН Смета на обслуживание шлагбаумов (Вячеслав Козлов)</t>
  </si>
  <si>
    <t xml:space="preserve"> </t>
  </si>
  <si>
    <t>Общая стоимость ТО за отчетный период (5 раз)</t>
  </si>
  <si>
    <t>Цена работ на ед. изм., руб.</t>
  </si>
  <si>
    <t>Цена материалов на ед. изм., руб.</t>
  </si>
  <si>
    <t>Итого работ, руб.</t>
  </si>
  <si>
    <t>Итого материалов, руб.</t>
  </si>
  <si>
    <t>Всего, руб.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</si>
</sst>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Red]\-\ #,##0.00"/>
    <numFmt numFmtId="165" formatCode="General;\-General;"/>
  </numFmts>
  <fonts count="18" x14ac:knownFonts="1">
    <font>
      <sz val="10"/>
      <name val="Arial"/>
      <charset val="204"/>
    </font>
    <font>
      <b/>
      <sz val="10"/>
      <color indexed="12"/>
      <name val="Arial"/>
      <charset val="204"/>
    </font>
    <font>
      <b/>
      <sz val="10"/>
      <color indexed="16"/>
      <name val="Arial"/>
      <charset val="204"/>
    </font>
    <font>
      <b/>
      <sz val="10"/>
      <color indexed="20"/>
      <name val="Arial"/>
      <charset val="204"/>
    </font>
    <font>
      <b/>
      <sz val="10"/>
      <color indexed="17"/>
      <name val="Arial"/>
      <charset val="204"/>
    </font>
    <font>
      <sz val="10"/>
      <color indexed="17"/>
      <name val="Arial"/>
      <charset val="204"/>
    </font>
    <font>
      <sz val="10"/>
      <color indexed="12"/>
      <name val="Arial"/>
      <charset val="204"/>
    </font>
    <font>
      <sz val="10"/>
      <color indexed="14"/>
      <name val="Arial"/>
      <charset val="204"/>
    </font>
    <font>
      <b/>
      <sz val="10"/>
      <color indexed="14"/>
      <name val="Arial"/>
      <charset val="204"/>
    </font>
    <font>
      <sz val="10"/>
      <name val="Arial"/>
      <family val="2"/>
      <charset val="204"/>
    </font>
    <font>
      <sz val="9"/>
      <name val="Arial"/>
      <family val="2"/>
      <charset val="204"/>
    </font>
    <font>
      <sz val="11"/>
      <name val="Arial"/>
      <family val="2"/>
      <charset val="204"/>
    </font>
    <font>
      <b/>
      <sz val="13"/>
      <name val="Arial"/>
      <family val="2"/>
      <charset val="204"/>
    </font>
    <font>
      <b/>
      <sz val="12"/>
      <name val="Arial"/>
      <family val="2"/>
      <charset val="204"/>
    </font>
    <font>
      <sz val="12"/>
      <name val="Arial"/>
      <family val="2"/>
      <charset val="204"/>
    </font>
    <font>
      <b/>
      <sz val="14"/>
      <name val="Arial"/>
      <family val="2"/>
      <charset val="204"/>
    </font>
    <font>
      <b/>
      <sz val="11"/>
      <name val="Arial"/>
      <family val="2"/>
      <charset val="204"/>
    </font>
    <font>
      <i/>
      <sz val="11"/>
      <name val="Arial"/>
      <family val="2"/>
      <charset val="204"/>
    </font>
  </fonts>
  <fills count="2">
    <fill>
      <patternFill patternType="none"/>
    </fill>
    <fill>
      <patternFill patternType="gray125"/>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78">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10" fillId="0" borderId="0" xfId="0" applyFont="1"/>
    <xf numFmtId="0" fontId="11" fillId="0" borderId="0" xfId="0" applyFont="1" applyAlignment="1">
      <alignment horizontal="right"/>
    </xf>
    <xf numFmtId="0" fontId="11" fillId="0" borderId="0" xfId="0" applyFont="1"/>
    <xf numFmtId="0" fontId="12" fillId="0" borderId="0" xfId="0" applyFont="1" applyAlignment="1"/>
    <xf numFmtId="0" fontId="13" fillId="0" borderId="0" xfId="0" applyFont="1" applyAlignment="1">
      <alignment horizontal="left"/>
    </xf>
    <xf numFmtId="0" fontId="11" fillId="0" borderId="0" xfId="0" applyFont="1" applyAlignment="1">
      <alignment horizontal="left"/>
    </xf>
    <xf numFmtId="0" fontId="11" fillId="0" borderId="0" xfId="0" applyFont="1" applyAlignment="1"/>
    <xf numFmtId="0" fontId="11" fillId="0" borderId="0" xfId="0" applyFont="1" applyBorder="1" applyAlignment="1">
      <alignment horizontal="left"/>
    </xf>
    <xf numFmtId="0" fontId="11" fillId="0" borderId="0" xfId="0" applyFont="1" applyAlignment="1">
      <alignment horizontal="left"/>
    </xf>
    <xf numFmtId="0" fontId="11" fillId="0" borderId="0" xfId="0" applyFont="1" applyBorder="1" applyAlignment="1">
      <alignment wrapText="1"/>
    </xf>
    <xf numFmtId="0" fontId="11" fillId="0" borderId="0" xfId="0" applyFont="1" applyBorder="1" applyAlignment="1">
      <alignment horizontal="left" wrapText="1"/>
    </xf>
    <xf numFmtId="0" fontId="11" fillId="0" borderId="0" xfId="0" applyFont="1" applyAlignment="1">
      <alignment horizontal="right"/>
    </xf>
    <xf numFmtId="0" fontId="13" fillId="0" borderId="1" xfId="0" applyFont="1" applyBorder="1" applyAlignment="1">
      <alignment horizontal="center" wrapText="1"/>
    </xf>
    <xf numFmtId="0" fontId="10" fillId="0" borderId="2" xfId="0" applyFont="1" applyBorder="1" applyAlignment="1">
      <alignment horizontal="center"/>
    </xf>
    <xf numFmtId="0" fontId="14" fillId="0" borderId="1" xfId="0" applyFont="1" applyBorder="1" applyAlignment="1">
      <alignment horizontal="center" wrapText="1"/>
    </xf>
    <xf numFmtId="0" fontId="15" fillId="0" borderId="1" xfId="0" applyFont="1" applyBorder="1" applyAlignment="1">
      <alignment horizontal="center" wrapText="1"/>
    </xf>
    <xf numFmtId="0" fontId="10" fillId="0" borderId="0" xfId="0" applyFont="1" applyAlignment="1">
      <alignment horizontal="center" wrapText="1"/>
    </xf>
    <xf numFmtId="0" fontId="0" fillId="0" borderId="0" xfId="0" applyAlignment="1"/>
    <xf numFmtId="0" fontId="11" fillId="0" borderId="1" xfId="0" applyFont="1" applyBorder="1" applyAlignment="1">
      <alignment horizontal="left" wrapText="1"/>
    </xf>
    <xf numFmtId="0" fontId="11" fillId="0" borderId="0" xfId="0" applyFont="1" applyBorder="1" applyAlignment="1">
      <alignment horizontal="left" wrapText="1"/>
    </xf>
    <xf numFmtId="0" fontId="11" fillId="0" borderId="0" xfId="0" applyFont="1" applyAlignment="1">
      <alignment horizontal="center" vertical="top" wrapText="1"/>
    </xf>
    <xf numFmtId="0" fontId="16" fillId="0" borderId="0" xfId="0" applyFont="1" applyAlignment="1">
      <alignment horizontal="left"/>
    </xf>
    <xf numFmtId="164" fontId="16" fillId="0" borderId="0" xfId="0" applyNumberFormat="1" applyFont="1"/>
    <xf numFmtId="0" fontId="16" fillId="0" borderId="0" xfId="0" applyFont="1"/>
    <xf numFmtId="164" fontId="11" fillId="0" borderId="0" xfId="0" applyNumberFormat="1" applyFont="1"/>
    <xf numFmtId="0" fontId="11" fillId="0" borderId="0" xfId="0" applyFont="1" applyFill="1" applyAlignment="1">
      <alignment horizontal="left"/>
    </xf>
    <xf numFmtId="0" fontId="11" fillId="0" borderId="0" xfId="1" applyFont="1" applyFill="1" applyAlignment="1">
      <alignment horizontal="left"/>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left" wrapText="1"/>
    </xf>
    <xf numFmtId="0" fontId="11" fillId="0" borderId="0" xfId="0" applyFont="1" applyAlignment="1">
      <alignment horizontal="left" vertical="top" wrapText="1"/>
    </xf>
    <xf numFmtId="0" fontId="17" fillId="0" borderId="0" xfId="0" applyFont="1" applyAlignment="1">
      <alignment horizontal="right" wrapText="1"/>
    </xf>
    <xf numFmtId="165" fontId="11" fillId="0" borderId="0" xfId="0" applyNumberFormat="1" applyFont="1" applyAlignment="1">
      <alignment horizontal="right" wrapText="1"/>
    </xf>
    <xf numFmtId="164" fontId="11" fillId="0" borderId="0" xfId="0" applyNumberFormat="1" applyFont="1" applyAlignment="1">
      <alignment horizontal="right"/>
    </xf>
    <xf numFmtId="164" fontId="0" fillId="0" borderId="0" xfId="0" applyNumberFormat="1"/>
    <xf numFmtId="0" fontId="11" fillId="0" borderId="1" xfId="0" applyFont="1" applyBorder="1" applyAlignment="1">
      <alignment horizontal="left" vertical="top" wrapText="1"/>
    </xf>
    <xf numFmtId="0" fontId="17" fillId="0" borderId="1" xfId="0" applyFont="1" applyBorder="1" applyAlignment="1">
      <alignment horizontal="right" wrapText="1"/>
    </xf>
    <xf numFmtId="0" fontId="11" fillId="0" borderId="1" xfId="0" applyFont="1" applyBorder="1" applyAlignment="1">
      <alignment horizontal="right"/>
    </xf>
    <xf numFmtId="164" fontId="11" fillId="0" borderId="1" xfId="0" applyNumberFormat="1" applyFont="1" applyBorder="1" applyAlignment="1">
      <alignment horizontal="right"/>
    </xf>
    <xf numFmtId="165" fontId="11" fillId="0" borderId="1" xfId="0" applyNumberFormat="1" applyFont="1" applyBorder="1" applyAlignment="1">
      <alignment horizontal="right" wrapText="1"/>
    </xf>
    <xf numFmtId="164" fontId="16" fillId="0" borderId="2" xfId="0" applyNumberFormat="1" applyFont="1" applyBorder="1" applyAlignment="1">
      <alignment horizontal="right"/>
    </xf>
    <xf numFmtId="0" fontId="16" fillId="0" borderId="0" xfId="0" applyFont="1" applyAlignment="1">
      <alignment horizontal="right"/>
    </xf>
    <xf numFmtId="164" fontId="16" fillId="0" borderId="0" xfId="0" applyNumberFormat="1" applyFont="1" applyAlignment="1">
      <alignment horizontal="right"/>
    </xf>
    <xf numFmtId="164" fontId="17" fillId="0" borderId="0" xfId="0" applyNumberFormat="1" applyFont="1" applyAlignment="1">
      <alignment horizontal="right"/>
    </xf>
    <xf numFmtId="0" fontId="16" fillId="0" borderId="0" xfId="0" applyFont="1" applyAlignment="1">
      <alignment horizontal="left" wrapText="1"/>
    </xf>
    <xf numFmtId="0" fontId="16" fillId="0" borderId="0" xfId="0" applyFont="1" applyAlignment="1">
      <alignment horizontal="left" wrapText="1"/>
    </xf>
    <xf numFmtId="0" fontId="11" fillId="0" borderId="0" xfId="0" applyFont="1" applyAlignment="1">
      <alignment horizontal="left" wrapText="1"/>
    </xf>
    <xf numFmtId="164" fontId="11" fillId="0" borderId="0" xfId="0" applyNumberFormat="1" applyFont="1" applyAlignment="1">
      <alignment horizontal="right"/>
    </xf>
    <xf numFmtId="0" fontId="11" fillId="0" borderId="0" xfId="0" applyFont="1" applyAlignment="1">
      <alignment horizontal="right" vertical="center"/>
    </xf>
    <xf numFmtId="0" fontId="11" fillId="0" borderId="1" xfId="0" applyFont="1" applyBorder="1"/>
    <xf numFmtId="0" fontId="11" fillId="0" borderId="0" xfId="0" applyFont="1" applyAlignment="1">
      <alignment horizontal="right" vertical="center"/>
    </xf>
    <xf numFmtId="0" fontId="10" fillId="0" borderId="2" xfId="0" applyFont="1" applyBorder="1" applyAlignment="1">
      <alignment horizontal="center" wrapText="1"/>
    </xf>
    <xf numFmtId="0" fontId="11" fillId="0" borderId="3" xfId="0" applyFont="1" applyBorder="1" applyAlignment="1">
      <alignment horizontal="left" vertical="top" wrapText="1"/>
    </xf>
    <xf numFmtId="0" fontId="17" fillId="0" borderId="3" xfId="0" applyFont="1" applyBorder="1" applyAlignment="1">
      <alignment horizontal="right" wrapText="1"/>
    </xf>
    <xf numFmtId="0" fontId="11" fillId="0" borderId="3" xfId="0" applyFont="1" applyBorder="1" applyAlignment="1">
      <alignment horizontal="right"/>
    </xf>
    <xf numFmtId="4" fontId="11" fillId="0" borderId="3" xfId="0" applyNumberFormat="1" applyFont="1" applyBorder="1" applyAlignment="1">
      <alignment horizontal="right"/>
    </xf>
    <xf numFmtId="4" fontId="11" fillId="0" borderId="3" xfId="0" applyNumberFormat="1" applyFont="1" applyBorder="1" applyAlignment="1">
      <alignment horizontal="right" wrapText="1"/>
    </xf>
    <xf numFmtId="164" fontId="11" fillId="0" borderId="3" xfId="0" applyNumberFormat="1" applyFont="1" applyBorder="1" applyAlignment="1">
      <alignment horizontal="right"/>
    </xf>
    <xf numFmtId="165" fontId="11" fillId="0" borderId="3" xfId="0" applyNumberFormat="1" applyFont="1" applyBorder="1" applyAlignment="1">
      <alignment horizontal="right" wrapText="1"/>
    </xf>
    <xf numFmtId="0" fontId="0" fillId="0" borderId="3" xfId="0" applyBorder="1"/>
    <xf numFmtId="0" fontId="16" fillId="0" borderId="3" xfId="0" applyFont="1" applyBorder="1"/>
    <xf numFmtId="164" fontId="16" fillId="0" borderId="3" xfId="0" applyNumberFormat="1" applyFont="1" applyBorder="1" applyAlignment="1">
      <alignment horizontal="right"/>
    </xf>
    <xf numFmtId="164" fontId="16" fillId="0" borderId="3" xfId="0" applyNumberFormat="1" applyFont="1" applyBorder="1" applyAlignment="1">
      <alignment horizontal="right"/>
    </xf>
    <xf numFmtId="164" fontId="17" fillId="0" borderId="3" xfId="0" applyNumberFormat="1" applyFont="1" applyBorder="1" applyAlignment="1">
      <alignment horizontal="right"/>
    </xf>
    <xf numFmtId="0" fontId="16" fillId="0" borderId="3" xfId="0" applyFont="1" applyBorder="1" applyAlignment="1">
      <alignment horizontal="left" wrapText="1"/>
    </xf>
    <xf numFmtId="0" fontId="11" fillId="0" borderId="3" xfId="0" applyFont="1" applyBorder="1" applyAlignment="1">
      <alignment horizontal="left" wrapText="1"/>
    </xf>
    <xf numFmtId="164" fontId="11" fillId="0" borderId="3" xfId="0" applyNumberFormat="1" applyFont="1" applyBorder="1" applyAlignment="1">
      <alignment horizontal="right"/>
    </xf>
    <xf numFmtId="164" fontId="16" fillId="0" borderId="5" xfId="0" applyNumberFormat="1" applyFont="1" applyBorder="1" applyAlignment="1">
      <alignment horizontal="right"/>
    </xf>
    <xf numFmtId="164" fontId="16" fillId="0" borderId="6" xfId="0" applyNumberFormat="1" applyFont="1" applyBorder="1" applyAlignment="1">
      <alignment horizontal="right"/>
    </xf>
  </cellXfs>
  <cellStyles count="2">
    <cellStyle name="Обычный" xfId="0" builtinId="0"/>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5"/>
  <sheetViews>
    <sheetView topLeftCell="A59" zoomScaleNormal="100" workbookViewId="0"/>
  </sheetViews>
  <sheetFormatPr defaultRowHeight="12.75" x14ac:dyDescent="0.2"/>
  <cols>
    <col min="1" max="1" width="5.7109375" customWidth="1"/>
    <col min="2" max="2" width="11.7109375" customWidth="1"/>
    <col min="3" max="3" width="40.7109375" customWidth="1"/>
    <col min="4" max="4" width="11.7109375" customWidth="1"/>
    <col min="5" max="5" width="8.140625" bestFit="1" customWidth="1"/>
    <col min="6" max="6" width="8.85546875" bestFit="1" customWidth="1"/>
    <col min="7" max="7" width="8.5703125" bestFit="1" customWidth="1"/>
    <col min="10" max="10" width="11.28515625" bestFit="1" customWidth="1"/>
    <col min="11" max="11" width="10.140625" bestFit="1" customWidth="1"/>
    <col min="14" max="41" width="0" hidden="1" customWidth="1"/>
    <col min="42" max="42" width="129.7109375" hidden="1" customWidth="1"/>
    <col min="43" max="43" width="96" hidden="1" customWidth="1"/>
    <col min="44" max="47" width="0" hidden="1" customWidth="1"/>
  </cols>
  <sheetData>
    <row r="1" spans="1:11" x14ac:dyDescent="0.2">
      <c r="A1" s="9" t="str">
        <f>Source!B1</f>
        <v>Smeta.RU Flash  (495) 974-1589</v>
      </c>
    </row>
    <row r="2" spans="1:11" ht="14.25" x14ac:dyDescent="0.2">
      <c r="A2" s="10"/>
      <c r="B2" s="10"/>
      <c r="C2" s="10"/>
      <c r="D2" s="10"/>
      <c r="E2" s="10"/>
      <c r="F2" s="10"/>
      <c r="G2" s="10"/>
      <c r="H2" s="10"/>
      <c r="I2" s="10"/>
      <c r="J2" s="20" t="s">
        <v>127</v>
      </c>
      <c r="K2" s="20"/>
    </row>
    <row r="3" spans="1:11" ht="16.5" x14ac:dyDescent="0.25">
      <c r="A3" s="12"/>
      <c r="B3" s="13" t="s">
        <v>125</v>
      </c>
      <c r="C3" s="13"/>
      <c r="D3" s="13"/>
      <c r="E3" s="13"/>
      <c r="F3" s="11"/>
      <c r="G3" s="13" t="s">
        <v>126</v>
      </c>
      <c r="H3" s="13"/>
      <c r="I3" s="13"/>
      <c r="J3" s="13"/>
      <c r="K3" s="13"/>
    </row>
    <row r="4" spans="1:11" ht="14.25" x14ac:dyDescent="0.2">
      <c r="A4" s="11"/>
      <c r="B4" s="14"/>
      <c r="C4" s="14"/>
      <c r="D4" s="14"/>
      <c r="E4" s="14"/>
      <c r="F4" s="11"/>
      <c r="G4" s="14"/>
      <c r="H4" s="14"/>
      <c r="I4" s="14"/>
      <c r="J4" s="14"/>
      <c r="K4" s="14"/>
    </row>
    <row r="5" spans="1:11" ht="14.25" x14ac:dyDescent="0.2">
      <c r="A5" s="15"/>
      <c r="B5" s="15"/>
      <c r="C5" s="16"/>
      <c r="D5" s="16"/>
      <c r="E5" s="16"/>
      <c r="F5" s="11"/>
      <c r="G5" s="17"/>
      <c r="H5" s="16"/>
      <c r="I5" s="16"/>
      <c r="J5" s="16"/>
      <c r="K5" s="17"/>
    </row>
    <row r="6" spans="1:11" ht="14.25" x14ac:dyDescent="0.2">
      <c r="A6" s="17"/>
      <c r="B6" s="14" t="str">
        <f>CONCATENATE("______________________ ", IF(Source!AL12&lt;&gt;"", Source!AL12, ""))</f>
        <v xml:space="preserve">______________________ </v>
      </c>
      <c r="C6" s="14"/>
      <c r="D6" s="14"/>
      <c r="E6" s="14"/>
      <c r="F6" s="11"/>
      <c r="G6" s="14" t="str">
        <f>CONCATENATE("______________________ ", IF(Source!AH12&lt;&gt;"", Source!AH12, ""))</f>
        <v xml:space="preserve">______________________ </v>
      </c>
      <c r="H6" s="14"/>
      <c r="I6" s="14"/>
      <c r="J6" s="14"/>
      <c r="K6" s="14"/>
    </row>
    <row r="7" spans="1:11" ht="14.25" x14ac:dyDescent="0.2">
      <c r="A7" s="18"/>
      <c r="B7" s="19" t="s">
        <v>128</v>
      </c>
      <c r="C7" s="19"/>
      <c r="D7" s="19"/>
      <c r="E7" s="19"/>
      <c r="F7" s="11"/>
      <c r="G7" s="19" t="s">
        <v>128</v>
      </c>
      <c r="H7" s="19"/>
      <c r="I7" s="19"/>
      <c r="J7" s="19"/>
      <c r="K7" s="19"/>
    </row>
    <row r="9" spans="1:11" ht="14.25" x14ac:dyDescent="0.2">
      <c r="A9" s="11"/>
      <c r="B9" s="11"/>
      <c r="C9" s="11"/>
      <c r="D9" s="11"/>
      <c r="E9" s="11"/>
      <c r="F9" s="11"/>
      <c r="G9" s="11"/>
      <c r="H9" s="11"/>
      <c r="I9" s="11"/>
      <c r="J9" s="11"/>
      <c r="K9" s="11"/>
    </row>
    <row r="10" spans="1:11" ht="15.75" x14ac:dyDescent="0.25">
      <c r="A10" s="21" t="s">
        <v>5</v>
      </c>
      <c r="B10" s="21"/>
      <c r="C10" s="21"/>
      <c r="D10" s="21"/>
      <c r="E10" s="21"/>
      <c r="F10" s="21"/>
      <c r="G10" s="21"/>
      <c r="H10" s="21"/>
      <c r="I10" s="21"/>
      <c r="J10" s="21"/>
      <c r="K10" s="21"/>
    </row>
    <row r="11" spans="1:11" x14ac:dyDescent="0.2">
      <c r="A11" s="22" t="s">
        <v>129</v>
      </c>
      <c r="B11" s="22"/>
      <c r="C11" s="22"/>
      <c r="D11" s="22"/>
      <c r="E11" s="22"/>
      <c r="F11" s="22"/>
      <c r="G11" s="22"/>
      <c r="H11" s="22"/>
      <c r="I11" s="22"/>
      <c r="J11" s="22"/>
      <c r="K11" s="22"/>
    </row>
    <row r="12" spans="1:11" ht="14.25" x14ac:dyDescent="0.2">
      <c r="A12" s="11"/>
      <c r="B12" s="11"/>
      <c r="C12" s="11"/>
      <c r="D12" s="11"/>
      <c r="E12" s="11"/>
      <c r="F12" s="11"/>
      <c r="G12" s="11"/>
      <c r="H12" s="11"/>
      <c r="I12" s="11"/>
      <c r="J12" s="11"/>
      <c r="K12" s="11"/>
    </row>
    <row r="13" spans="1:11" ht="15.75" x14ac:dyDescent="0.25">
      <c r="A13" s="21" t="str">
        <f>CONCATENATE( "ЛОКАЛЬНАЯ СМЕТА № ",IF(Source!F20&lt;&gt;"Новая локальная смета", Source!F20, ""))</f>
        <v>ЛОКАЛЬНАЯ СМЕТА № 02-01-01</v>
      </c>
      <c r="B13" s="23"/>
      <c r="C13" s="23"/>
      <c r="D13" s="23"/>
      <c r="E13" s="23"/>
      <c r="F13" s="23"/>
      <c r="G13" s="23"/>
      <c r="H13" s="23"/>
      <c r="I13" s="23"/>
      <c r="J13" s="23"/>
      <c r="K13" s="23"/>
    </row>
    <row r="14" spans="1:11" ht="14.25" x14ac:dyDescent="0.2">
      <c r="A14" s="11"/>
      <c r="B14" s="11"/>
      <c r="C14" s="11"/>
      <c r="D14" s="11"/>
      <c r="E14" s="11"/>
      <c r="F14" s="11"/>
      <c r="G14" s="11"/>
      <c r="H14" s="11"/>
      <c r="I14" s="11"/>
      <c r="J14" s="11"/>
      <c r="K14" s="11"/>
    </row>
    <row r="15" spans="1:11" ht="18" x14ac:dyDescent="0.25">
      <c r="A15" s="24" t="str">
        <f>IF(Source!G20&lt;&gt;"Новая локальная смета", Source!G20, "")</f>
        <v>№272-26.12.24 Р ТСН Смета на обслуживание шлагбаумов (Вячеслав Козлов)</v>
      </c>
      <c r="B15" s="24"/>
      <c r="C15" s="24"/>
      <c r="D15" s="24"/>
      <c r="E15" s="24"/>
      <c r="F15" s="24"/>
      <c r="G15" s="24"/>
      <c r="H15" s="24"/>
      <c r="I15" s="24"/>
      <c r="J15" s="24"/>
      <c r="K15" s="24"/>
    </row>
    <row r="16" spans="1:11" x14ac:dyDescent="0.2">
      <c r="A16" s="25" t="s">
        <v>130</v>
      </c>
      <c r="B16" s="26"/>
      <c r="C16" s="26"/>
      <c r="D16" s="26"/>
      <c r="E16" s="26"/>
      <c r="F16" s="26"/>
      <c r="G16" s="26"/>
      <c r="H16" s="26"/>
      <c r="I16" s="26"/>
      <c r="J16" s="26"/>
      <c r="K16" s="26"/>
    </row>
    <row r="17" spans="1:42" ht="14.25" x14ac:dyDescent="0.2">
      <c r="A17" s="11"/>
      <c r="B17" s="11"/>
      <c r="C17" s="11"/>
      <c r="D17" s="11"/>
      <c r="E17" s="11"/>
      <c r="F17" s="11"/>
      <c r="G17" s="11"/>
      <c r="H17" s="11"/>
      <c r="I17" s="11"/>
      <c r="J17" s="11"/>
      <c r="K17" s="11"/>
    </row>
    <row r="18" spans="1:42" ht="14.25" x14ac:dyDescent="0.2">
      <c r="A18" s="27" t="str">
        <f>CONCATENATE( "Основание: чертежи № ", Source!J20)</f>
        <v xml:space="preserve">Основание: чертежи № </v>
      </c>
      <c r="B18" s="27"/>
      <c r="C18" s="27"/>
      <c r="D18" s="27"/>
      <c r="E18" s="27"/>
      <c r="F18" s="27"/>
      <c r="G18" s="27"/>
      <c r="H18" s="27"/>
      <c r="I18" s="27"/>
      <c r="J18" s="27"/>
      <c r="K18" s="27"/>
    </row>
    <row r="19" spans="1:42" ht="14.25" x14ac:dyDescent="0.2">
      <c r="A19" s="28"/>
      <c r="B19" s="28"/>
      <c r="C19" s="28"/>
      <c r="D19" s="28"/>
      <c r="E19" s="28"/>
      <c r="F19" s="28"/>
      <c r="G19" s="28"/>
      <c r="H19" s="28"/>
      <c r="I19" s="28"/>
      <c r="J19" s="28"/>
      <c r="K19" s="28"/>
    </row>
    <row r="20" spans="1:42" ht="71.25" x14ac:dyDescent="0.2">
      <c r="A20" s="11"/>
      <c r="B20" s="11"/>
      <c r="C20" s="11"/>
      <c r="D20" s="11"/>
      <c r="E20" s="11"/>
      <c r="F20" s="11"/>
      <c r="G20" s="11"/>
      <c r="H20" s="11"/>
      <c r="I20" s="29" t="s">
        <v>131</v>
      </c>
      <c r="J20" s="29" t="s">
        <v>132</v>
      </c>
      <c r="K20" s="11"/>
    </row>
    <row r="21" spans="1:42" ht="15" x14ac:dyDescent="0.25">
      <c r="A21" s="11"/>
      <c r="B21" s="11"/>
      <c r="C21" s="11"/>
      <c r="D21" s="11"/>
      <c r="E21" s="30" t="s">
        <v>133</v>
      </c>
      <c r="F21" s="30"/>
      <c r="G21" s="30"/>
      <c r="H21" s="30"/>
      <c r="I21" s="31">
        <f>I22+I23+I24+I25</f>
        <v>4.5199999999999996</v>
      </c>
      <c r="J21" s="31">
        <f>J22+J23+J24+J25</f>
        <v>153.82</v>
      </c>
      <c r="K21" s="32" t="s">
        <v>169</v>
      </c>
    </row>
    <row r="22" spans="1:42" ht="14.25" x14ac:dyDescent="0.2">
      <c r="A22" s="11"/>
      <c r="B22" s="11"/>
      <c r="C22" s="11"/>
      <c r="D22" s="11"/>
      <c r="E22" s="14" t="s">
        <v>134</v>
      </c>
      <c r="F22" s="14"/>
      <c r="G22" s="14"/>
      <c r="H22" s="14"/>
      <c r="I22" s="33">
        <f>ROUND(SUM(X35:X74)/1000, 2)</f>
        <v>0</v>
      </c>
      <c r="J22" s="33">
        <f>ROUND((Source!F45)/1000, 2)</f>
        <v>0</v>
      </c>
      <c r="K22" s="11" t="s">
        <v>169</v>
      </c>
    </row>
    <row r="23" spans="1:42" ht="14.25" x14ac:dyDescent="0.2">
      <c r="A23" s="11"/>
      <c r="B23" s="11"/>
      <c r="C23" s="11"/>
      <c r="D23" s="11"/>
      <c r="E23" s="14" t="s">
        <v>135</v>
      </c>
      <c r="F23" s="14"/>
      <c r="G23" s="14"/>
      <c r="H23" s="14"/>
      <c r="I23" s="33">
        <f>ROUND(SUM(Y35:Y74)/1000, 2)</f>
        <v>0</v>
      </c>
      <c r="J23" s="33">
        <f>ROUND((Source!F46)/1000, 2)</f>
        <v>0</v>
      </c>
      <c r="K23" s="11" t="s">
        <v>169</v>
      </c>
    </row>
    <row r="24" spans="1:42" ht="14.25" x14ac:dyDescent="0.2">
      <c r="A24" s="11"/>
      <c r="B24" s="11"/>
      <c r="C24" s="11"/>
      <c r="D24" s="11"/>
      <c r="E24" s="14" t="s">
        <v>136</v>
      </c>
      <c r="F24" s="14"/>
      <c r="G24" s="14"/>
      <c r="H24" s="14"/>
      <c r="I24" s="33">
        <f>ROUND(SUM(Z35:Z74)/1000, 2)</f>
        <v>0</v>
      </c>
      <c r="J24" s="33">
        <f>ROUND((Source!F37)/1000, 2)</f>
        <v>0</v>
      </c>
      <c r="K24" s="11" t="s">
        <v>169</v>
      </c>
    </row>
    <row r="25" spans="1:42" ht="14.25" x14ac:dyDescent="0.2">
      <c r="A25" s="11"/>
      <c r="B25" s="11"/>
      <c r="C25" s="11"/>
      <c r="D25" s="11"/>
      <c r="E25" s="14" t="s">
        <v>137</v>
      </c>
      <c r="F25" s="14"/>
      <c r="G25" s="14"/>
      <c r="H25" s="14"/>
      <c r="I25" s="33">
        <f>ROUND(SUM(AA35:AA74)/1000, 2)</f>
        <v>4.5199999999999996</v>
      </c>
      <c r="J25" s="33">
        <f>ROUND((Source!F47+Source!F48)/1000, 2)</f>
        <v>153.82</v>
      </c>
      <c r="K25" s="11" t="s">
        <v>169</v>
      </c>
    </row>
    <row r="26" spans="1:42" ht="14.25" x14ac:dyDescent="0.2">
      <c r="A26" s="11"/>
      <c r="B26" s="11"/>
      <c r="C26" s="11"/>
      <c r="D26" s="11"/>
      <c r="E26" s="14" t="s">
        <v>138</v>
      </c>
      <c r="F26" s="14"/>
      <c r="G26" s="14"/>
      <c r="H26" s="14"/>
      <c r="I26" s="33">
        <f>ROUND(SUM(W35:W74)/1000, 2)</f>
        <v>1.89</v>
      </c>
      <c r="J26" s="33">
        <f>(Source!F43+ Source!F42)/1000</f>
        <v>72.454750000000004</v>
      </c>
      <c r="K26" s="11" t="s">
        <v>169</v>
      </c>
    </row>
    <row r="27" spans="1:42" ht="14.25" x14ac:dyDescent="0.2">
      <c r="A27" s="11"/>
      <c r="B27" s="11"/>
      <c r="C27" s="11"/>
      <c r="D27" s="11"/>
      <c r="E27" s="14" t="s">
        <v>139</v>
      </c>
      <c r="F27" s="14"/>
      <c r="G27" s="14"/>
      <c r="H27" s="14"/>
      <c r="I27" s="33">
        <f>SUM(AB35:AB74)</f>
        <v>146.16</v>
      </c>
      <c r="J27" s="33"/>
      <c r="K27" s="11" t="s">
        <v>104</v>
      </c>
    </row>
    <row r="28" spans="1:42" ht="14.25" hidden="1" x14ac:dyDescent="0.2">
      <c r="A28" s="11"/>
      <c r="B28" s="11"/>
      <c r="C28" s="11"/>
      <c r="D28" s="11"/>
      <c r="E28" s="34" t="s">
        <v>140</v>
      </c>
      <c r="F28" s="34"/>
      <c r="G28" s="34"/>
      <c r="H28" s="34"/>
      <c r="I28" s="33"/>
      <c r="J28" s="33"/>
      <c r="K28" s="11"/>
    </row>
    <row r="29" spans="1:42" ht="14.25" hidden="1" x14ac:dyDescent="0.2">
      <c r="A29" s="11"/>
      <c r="B29" s="11"/>
      <c r="C29" s="11"/>
      <c r="D29" s="11"/>
      <c r="E29" s="35" t="s">
        <v>72</v>
      </c>
      <c r="F29" s="35"/>
      <c r="G29" s="35"/>
      <c r="H29" s="35"/>
      <c r="I29" s="33">
        <f>ROUND(SUM(AE35:AE74)/1000, 2)</f>
        <v>0</v>
      </c>
      <c r="J29" s="33">
        <f>SUM(AF35:AF74)/1000</f>
        <v>0</v>
      </c>
      <c r="K29" s="11" t="s">
        <v>169</v>
      </c>
    </row>
    <row r="30" spans="1:42" ht="14.25" x14ac:dyDescent="0.2">
      <c r="A30" s="11"/>
      <c r="B30" s="11"/>
      <c r="C30" s="11"/>
      <c r="D30" s="11"/>
      <c r="E30" s="11"/>
      <c r="F30" s="17"/>
      <c r="G30" s="17"/>
      <c r="H30" s="17"/>
      <c r="I30" s="33"/>
      <c r="J30" s="33"/>
      <c r="K30" s="11"/>
    </row>
    <row r="31" spans="1:42" ht="14.25" x14ac:dyDescent="0.2">
      <c r="A31" s="11" t="s">
        <v>152</v>
      </c>
      <c r="B31" s="11"/>
      <c r="C31" s="11"/>
      <c r="D31" s="11"/>
      <c r="E31" s="11"/>
      <c r="F31" s="17"/>
      <c r="G31" s="17"/>
      <c r="H31" s="17"/>
      <c r="I31" s="33"/>
      <c r="J31" s="33"/>
      <c r="K31" s="11"/>
    </row>
    <row r="32" spans="1:42" ht="28.5" x14ac:dyDescent="0.2">
      <c r="A32" s="27" t="s">
        <v>153</v>
      </c>
      <c r="B32" s="27"/>
      <c r="C32" s="27"/>
      <c r="D32" s="27"/>
      <c r="E32" s="27"/>
      <c r="F32" s="27"/>
      <c r="G32" s="27"/>
      <c r="H32" s="27"/>
      <c r="I32" s="27"/>
      <c r="J32" s="27"/>
      <c r="K32" s="27"/>
      <c r="AP32" s="38" t="s">
        <v>153</v>
      </c>
    </row>
    <row r="33" spans="1:35" ht="114" x14ac:dyDescent="0.2">
      <c r="A33" s="36" t="s">
        <v>141</v>
      </c>
      <c r="B33" s="36" t="s">
        <v>142</v>
      </c>
      <c r="C33" s="36" t="s">
        <v>143</v>
      </c>
      <c r="D33" s="36" t="s">
        <v>144</v>
      </c>
      <c r="E33" s="36" t="s">
        <v>145</v>
      </c>
      <c r="F33" s="36" t="s">
        <v>146</v>
      </c>
      <c r="G33" s="37" t="s">
        <v>147</v>
      </c>
      <c r="H33" s="37" t="s">
        <v>148</v>
      </c>
      <c r="I33" s="36" t="s">
        <v>149</v>
      </c>
      <c r="J33" s="36" t="s">
        <v>150</v>
      </c>
      <c r="K33" s="36" t="s">
        <v>151</v>
      </c>
    </row>
    <row r="34" spans="1:35" ht="14.25" x14ac:dyDescent="0.2">
      <c r="A34" s="36">
        <v>1</v>
      </c>
      <c r="B34" s="36">
        <v>2</v>
      </c>
      <c r="C34" s="36">
        <v>3</v>
      </c>
      <c r="D34" s="36">
        <v>4</v>
      </c>
      <c r="E34" s="36">
        <v>5</v>
      </c>
      <c r="F34" s="36">
        <v>6</v>
      </c>
      <c r="G34" s="36">
        <v>7</v>
      </c>
      <c r="H34" s="36">
        <v>8</v>
      </c>
      <c r="I34" s="36">
        <v>9</v>
      </c>
      <c r="J34" s="36">
        <v>10</v>
      </c>
      <c r="K34" s="36">
        <v>11</v>
      </c>
    </row>
    <row r="35" spans="1:35" ht="142.5" x14ac:dyDescent="0.2">
      <c r="A35" s="39">
        <v>1</v>
      </c>
      <c r="B35" s="39" t="str">
        <f>Source!F24</f>
        <v>14.11-256-3</v>
      </c>
      <c r="C35" s="39" t="s">
        <v>123</v>
      </c>
      <c r="D35" s="40" t="str">
        <f>Source!H24</f>
        <v>1  ШТ.</v>
      </c>
      <c r="E35" s="10">
        <f>Source!I24</f>
        <v>9</v>
      </c>
      <c r="F35" s="42"/>
      <c r="G35" s="41"/>
      <c r="H35" s="10"/>
      <c r="I35" s="42"/>
      <c r="J35" s="10"/>
      <c r="K35" s="42"/>
      <c r="Q35">
        <f>ROUND((Source!DN24/100)*ROUND((ROUND((Source!AF24*Source!AV24*Source!I24),2)),2), 2)</f>
        <v>1312.13</v>
      </c>
      <c r="R35">
        <f>Source!X24</f>
        <v>44110.47</v>
      </c>
      <c r="S35">
        <f>ROUND((Source!DO24/100)*ROUND((ROUND((Source!AF24*Source!AV24*Source!I24),2)),2), 2)</f>
        <v>902.09</v>
      </c>
      <c r="T35">
        <f>Source!Y24</f>
        <v>25836.13</v>
      </c>
      <c r="U35">
        <f>ROUND((175/100)*ROUND((ROUND((Source!AE24*Source!AV24*Source!I24),2)),2), 2)</f>
        <v>0</v>
      </c>
      <c r="V35">
        <f>ROUND((160/100)*ROUND(ROUND((ROUND((Source!AE24*Source!AV24*Source!I24),2)*Source!BS24),2), 2), 2)</f>
        <v>0</v>
      </c>
      <c r="AI35">
        <v>0</v>
      </c>
    </row>
    <row r="36" spans="1:35" ht="14.25" x14ac:dyDescent="0.2">
      <c r="A36" s="39"/>
      <c r="B36" s="39"/>
      <c r="C36" s="39" t="s">
        <v>154</v>
      </c>
      <c r="D36" s="40"/>
      <c r="E36" s="10"/>
      <c r="F36" s="42">
        <f>Source!AO24</f>
        <v>182.24</v>
      </c>
      <c r="G36" s="41" t="str">
        <f>Source!DG24</f>
        <v/>
      </c>
      <c r="H36" s="10">
        <f>Source!AV24</f>
        <v>1</v>
      </c>
      <c r="I36" s="42">
        <f>ROUND((ROUND((Source!AF24*Source!AV24*Source!I24),2)),2)</f>
        <v>1640.16</v>
      </c>
      <c r="J36" s="10">
        <f>IF(Source!BA24&lt;&gt; 0, Source!BA24, 1)</f>
        <v>38.42</v>
      </c>
      <c r="K36" s="42">
        <f>Source!S24</f>
        <v>63014.95</v>
      </c>
      <c r="W36">
        <f>I36</f>
        <v>1640.16</v>
      </c>
    </row>
    <row r="37" spans="1:35" ht="14.25" x14ac:dyDescent="0.2">
      <c r="A37" s="39"/>
      <c r="B37" s="39"/>
      <c r="C37" s="39" t="s">
        <v>155</v>
      </c>
      <c r="D37" s="40"/>
      <c r="E37" s="10"/>
      <c r="F37" s="42">
        <f>Source!AL24</f>
        <v>6.43</v>
      </c>
      <c r="G37" s="41" t="str">
        <f>Source!DD24</f>
        <v/>
      </c>
      <c r="H37" s="10">
        <f>Source!AW24</f>
        <v>1</v>
      </c>
      <c r="I37" s="42">
        <f>ROUND((ROUND((Source!AC24*Source!AW24*Source!I24),2)),2)</f>
        <v>57.87</v>
      </c>
      <c r="J37" s="10">
        <f>IF(Source!BC24&lt;&gt; 0, Source!BC24, 1)</f>
        <v>8.27</v>
      </c>
      <c r="K37" s="42">
        <f>Source!P24</f>
        <v>478.58</v>
      </c>
    </row>
    <row r="38" spans="1:35" ht="14.25" x14ac:dyDescent="0.2">
      <c r="A38" s="39"/>
      <c r="B38" s="39"/>
      <c r="C38" s="39" t="s">
        <v>156</v>
      </c>
      <c r="D38" s="40" t="s">
        <v>157</v>
      </c>
      <c r="E38" s="10">
        <f>Source!DN24</f>
        <v>80</v>
      </c>
      <c r="F38" s="42"/>
      <c r="G38" s="41"/>
      <c r="H38" s="10"/>
      <c r="I38" s="42">
        <f>SUM(Q35:Q37)</f>
        <v>1312.13</v>
      </c>
      <c r="J38" s="10">
        <f>Source!BZ24</f>
        <v>70</v>
      </c>
      <c r="K38" s="42">
        <f>SUM(R35:R37)</f>
        <v>44110.47</v>
      </c>
    </row>
    <row r="39" spans="1:35" ht="14.25" x14ac:dyDescent="0.2">
      <c r="A39" s="39"/>
      <c r="B39" s="39"/>
      <c r="C39" s="39" t="s">
        <v>158</v>
      </c>
      <c r="D39" s="40" t="s">
        <v>157</v>
      </c>
      <c r="E39" s="10">
        <f>Source!DO24</f>
        <v>55</v>
      </c>
      <c r="F39" s="42"/>
      <c r="G39" s="41"/>
      <c r="H39" s="10"/>
      <c r="I39" s="42">
        <f>SUM(S35:S38)</f>
        <v>902.09</v>
      </c>
      <c r="J39" s="10">
        <f>Source!CA24</f>
        <v>41</v>
      </c>
      <c r="K39" s="42">
        <f>SUM(T35:T38)</f>
        <v>25836.13</v>
      </c>
    </row>
    <row r="40" spans="1:35" ht="14.25" x14ac:dyDescent="0.2">
      <c r="A40" s="44"/>
      <c r="B40" s="44"/>
      <c r="C40" s="44" t="s">
        <v>159</v>
      </c>
      <c r="D40" s="45" t="s">
        <v>160</v>
      </c>
      <c r="E40" s="46">
        <f>Source!AQ24</f>
        <v>14.44</v>
      </c>
      <c r="F40" s="47"/>
      <c r="G40" s="48" t="str">
        <f>Source!DI24</f>
        <v/>
      </c>
      <c r="H40" s="46">
        <f>Source!AV24</f>
        <v>1</v>
      </c>
      <c r="I40" s="47">
        <f>Source!U24</f>
        <v>129.96</v>
      </c>
      <c r="J40" s="46"/>
      <c r="K40" s="47"/>
      <c r="AB40" s="43">
        <f>I40</f>
        <v>129.96</v>
      </c>
    </row>
    <row r="41" spans="1:35" ht="15" x14ac:dyDescent="0.25">
      <c r="C41" s="32" t="s">
        <v>161</v>
      </c>
      <c r="H41" s="49">
        <f>I36+I37+I38+I39+0-0-0</f>
        <v>3912.25</v>
      </c>
      <c r="I41" s="49"/>
      <c r="J41" s="49">
        <f>K36+K37+K38+K39+0-0-0</f>
        <v>133440.13</v>
      </c>
      <c r="K41" s="49"/>
    </row>
    <row r="42" spans="1:35" ht="15" x14ac:dyDescent="0.25">
      <c r="C42" s="32" t="s">
        <v>162</v>
      </c>
      <c r="H42" s="51">
        <f>0+0</f>
        <v>0</v>
      </c>
      <c r="I42" s="51"/>
      <c r="J42" s="51">
        <f>0+0</f>
        <v>0</v>
      </c>
      <c r="K42" s="51"/>
    </row>
    <row r="43" spans="1:35" ht="15" x14ac:dyDescent="0.25">
      <c r="C43" s="32" t="s">
        <v>163</v>
      </c>
      <c r="H43" s="51">
        <f>I36+I37+I38+I39+0</f>
        <v>3912.25</v>
      </c>
      <c r="I43" s="51"/>
      <c r="J43" s="51">
        <f>K36+K37+K38+K39+0</f>
        <v>133440.13</v>
      </c>
      <c r="K43" s="51"/>
      <c r="O43" s="43">
        <f>I36+I37+I38+I39+0</f>
        <v>3912.25</v>
      </c>
      <c r="P43" s="43">
        <f>K36+K37+K38+K39+0</f>
        <v>133440.13</v>
      </c>
      <c r="X43">
        <f>IF(Source!BI24&lt;=1,I36+I37+I38+I39-0, 0)</f>
        <v>0</v>
      </c>
      <c r="Y43">
        <f>IF(Source!BI24=2,I36+I37+I38+I39-0, 0)</f>
        <v>0</v>
      </c>
      <c r="Z43">
        <f>IF(Source!BI24=3,I36+I37+I38+I39-0, 0)</f>
        <v>0</v>
      </c>
      <c r="AA43">
        <f>IF(Source!BI24=4,I36+I37+I38+I39,0)</f>
        <v>3912.25</v>
      </c>
    </row>
    <row r="45" spans="1:35" ht="185.25" x14ac:dyDescent="0.2">
      <c r="A45" s="39">
        <v>2</v>
      </c>
      <c r="B45" s="39" t="str">
        <f>Source!F25</f>
        <v>14.15-18-2</v>
      </c>
      <c r="C45" s="39" t="s">
        <v>124</v>
      </c>
      <c r="D45" s="40" t="str">
        <f>Source!H25</f>
        <v>1  ШТ.</v>
      </c>
      <c r="E45" s="10">
        <f>Source!I25</f>
        <v>9</v>
      </c>
      <c r="F45" s="42"/>
      <c r="G45" s="41"/>
      <c r="H45" s="10"/>
      <c r="I45" s="42"/>
      <c r="J45" s="10"/>
      <c r="K45" s="42"/>
      <c r="Q45">
        <f>ROUND((Source!DN25/100)*ROUND((ROUND((Source!AF25*Source!AV25*Source!I25),2)),2), 2)</f>
        <v>85.82</v>
      </c>
      <c r="R45">
        <f>Source!X25</f>
        <v>2885.19</v>
      </c>
      <c r="S45">
        <f>ROUND((Source!DO25/100)*ROUND((ROUND((Source!AF25*Source!AV25*Source!I25),2)),2), 2)</f>
        <v>59</v>
      </c>
      <c r="T45">
        <f>Source!Y25</f>
        <v>1689.9</v>
      </c>
      <c r="U45">
        <f>ROUND((175/100)*ROUND((ROUND((Source!AE25*Source!AV25*Source!I25),2)),2), 2)</f>
        <v>7.88</v>
      </c>
      <c r="V45">
        <f>ROUND((160/100)*ROUND(ROUND((ROUND((Source!AE25*Source!AV25*Source!I25),2)*Source!BS25),2), 2), 2)</f>
        <v>276.62</v>
      </c>
      <c r="AI45">
        <v>0</v>
      </c>
    </row>
    <row r="46" spans="1:35" ht="14.25" x14ac:dyDescent="0.2">
      <c r="A46" s="39"/>
      <c r="B46" s="39"/>
      <c r="C46" s="39" t="s">
        <v>154</v>
      </c>
      <c r="D46" s="40"/>
      <c r="E46" s="10"/>
      <c r="F46" s="42">
        <f>Source!AO25</f>
        <v>11.92</v>
      </c>
      <c r="G46" s="41" t="str">
        <f>Source!DG25</f>
        <v/>
      </c>
      <c r="H46" s="10">
        <f>Source!AV25</f>
        <v>1</v>
      </c>
      <c r="I46" s="42">
        <f>ROUND((ROUND((Source!AF25*Source!AV25*Source!I25),2)),2)</f>
        <v>107.28</v>
      </c>
      <c r="J46" s="10">
        <f>IF(Source!BA25&lt;&gt; 0, Source!BA25, 1)</f>
        <v>38.42</v>
      </c>
      <c r="K46" s="42">
        <f>Source!S25</f>
        <v>4121.7</v>
      </c>
      <c r="W46">
        <f>I46</f>
        <v>107.28</v>
      </c>
    </row>
    <row r="47" spans="1:35" ht="14.25" x14ac:dyDescent="0.2">
      <c r="A47" s="39"/>
      <c r="B47" s="39"/>
      <c r="C47" s="39" t="s">
        <v>164</v>
      </c>
      <c r="D47" s="40"/>
      <c r="E47" s="10"/>
      <c r="F47" s="42">
        <f>Source!AM25</f>
        <v>1.76</v>
      </c>
      <c r="G47" s="41" t="str">
        <f>Source!DE25</f>
        <v/>
      </c>
      <c r="H47" s="10">
        <f>Source!AV25</f>
        <v>1</v>
      </c>
      <c r="I47" s="42">
        <f>(ROUND((ROUND(((Source!ET25)*Source!AV25*Source!I25),2)),2)+ROUND((ROUND(((Source!AE25-(Source!EU25))*Source!AV25*Source!I25),2)),2))</f>
        <v>15.84</v>
      </c>
      <c r="J47" s="10">
        <f>IF(Source!BB25&lt;&gt; 0, Source!BB25, 1)</f>
        <v>17.170000000000002</v>
      </c>
      <c r="K47" s="42">
        <f>Source!Q25</f>
        <v>271.97000000000003</v>
      </c>
    </row>
    <row r="48" spans="1:35" ht="14.25" x14ac:dyDescent="0.2">
      <c r="A48" s="39"/>
      <c r="B48" s="39"/>
      <c r="C48" s="39" t="s">
        <v>165</v>
      </c>
      <c r="D48" s="40"/>
      <c r="E48" s="10"/>
      <c r="F48" s="42">
        <f>Source!AN25</f>
        <v>0.5</v>
      </c>
      <c r="G48" s="41" t="str">
        <f>Source!DF25</f>
        <v/>
      </c>
      <c r="H48" s="10">
        <f>Source!AV25</f>
        <v>1</v>
      </c>
      <c r="I48" s="52">
        <f>ROUND((ROUND((Source!AE25*Source!AV25*Source!I25),2)),2)</f>
        <v>4.5</v>
      </c>
      <c r="J48" s="10">
        <f>IF(Source!BS25&lt;&gt; 0, Source!BS25, 1)</f>
        <v>38.42</v>
      </c>
      <c r="K48" s="52">
        <f>Source!R25</f>
        <v>172.89</v>
      </c>
      <c r="W48">
        <f>I48</f>
        <v>4.5</v>
      </c>
    </row>
    <row r="49" spans="1:35" ht="14.25" x14ac:dyDescent="0.2">
      <c r="A49" s="39"/>
      <c r="B49" s="39"/>
      <c r="C49" s="39" t="s">
        <v>155</v>
      </c>
      <c r="D49" s="40"/>
      <c r="E49" s="10"/>
      <c r="F49" s="42">
        <f>Source!AL25</f>
        <v>0.05</v>
      </c>
      <c r="G49" s="41" t="str">
        <f>Source!DD25</f>
        <v/>
      </c>
      <c r="H49" s="10">
        <f>Source!AW25</f>
        <v>1</v>
      </c>
      <c r="I49" s="42">
        <f>ROUND((ROUND((Source!AC25*Source!AW25*Source!I25),2)),2)</f>
        <v>0.45</v>
      </c>
      <c r="J49" s="10">
        <f>IF(Source!BC25&lt;&gt; 0, Source!BC25, 1)</f>
        <v>59</v>
      </c>
      <c r="K49" s="42">
        <f>Source!P25</f>
        <v>26.55</v>
      </c>
    </row>
    <row r="50" spans="1:35" ht="14.25" x14ac:dyDescent="0.2">
      <c r="A50" s="39"/>
      <c r="B50" s="39"/>
      <c r="C50" s="39" t="s">
        <v>156</v>
      </c>
      <c r="D50" s="40" t="s">
        <v>157</v>
      </c>
      <c r="E50" s="10">
        <f>Source!DN25</f>
        <v>80</v>
      </c>
      <c r="F50" s="42"/>
      <c r="G50" s="41"/>
      <c r="H50" s="10"/>
      <c r="I50" s="42">
        <f>SUM(Q45:Q49)</f>
        <v>85.82</v>
      </c>
      <c r="J50" s="10">
        <f>Source!BZ25</f>
        <v>70</v>
      </c>
      <c r="K50" s="42">
        <f>SUM(R45:R49)</f>
        <v>2885.19</v>
      </c>
    </row>
    <row r="51" spans="1:35" ht="14.25" x14ac:dyDescent="0.2">
      <c r="A51" s="39"/>
      <c r="B51" s="39"/>
      <c r="C51" s="39" t="s">
        <v>158</v>
      </c>
      <c r="D51" s="40" t="s">
        <v>157</v>
      </c>
      <c r="E51" s="10">
        <f>Source!DO25</f>
        <v>55</v>
      </c>
      <c r="F51" s="42"/>
      <c r="G51" s="41"/>
      <c r="H51" s="10"/>
      <c r="I51" s="42">
        <f>SUM(S45:S50)</f>
        <v>59</v>
      </c>
      <c r="J51" s="10">
        <f>Source!CA25</f>
        <v>41</v>
      </c>
      <c r="K51" s="42">
        <f>SUM(T45:T50)</f>
        <v>1689.9</v>
      </c>
    </row>
    <row r="52" spans="1:35" ht="14.25" x14ac:dyDescent="0.2">
      <c r="A52" s="39"/>
      <c r="B52" s="39"/>
      <c r="C52" s="39" t="s">
        <v>166</v>
      </c>
      <c r="D52" s="40" t="s">
        <v>157</v>
      </c>
      <c r="E52" s="10">
        <f>175</f>
        <v>175</v>
      </c>
      <c r="F52" s="42"/>
      <c r="G52" s="41"/>
      <c r="H52" s="10"/>
      <c r="I52" s="42">
        <f>SUM(U45:U51)</f>
        <v>7.88</v>
      </c>
      <c r="J52" s="10">
        <f>160</f>
        <v>160</v>
      </c>
      <c r="K52" s="42">
        <f>SUM(V45:V51)</f>
        <v>276.62</v>
      </c>
    </row>
    <row r="53" spans="1:35" ht="14.25" x14ac:dyDescent="0.2">
      <c r="A53" s="44"/>
      <c r="B53" s="44"/>
      <c r="C53" s="44" t="s">
        <v>159</v>
      </c>
      <c r="D53" s="45" t="s">
        <v>160</v>
      </c>
      <c r="E53" s="46">
        <f>Source!AQ25</f>
        <v>0.82</v>
      </c>
      <c r="F53" s="47"/>
      <c r="G53" s="48" t="str">
        <f>Source!DI25</f>
        <v/>
      </c>
      <c r="H53" s="46">
        <f>Source!AV25</f>
        <v>1</v>
      </c>
      <c r="I53" s="47">
        <f>Source!U25</f>
        <v>7.38</v>
      </c>
      <c r="J53" s="46"/>
      <c r="K53" s="47"/>
      <c r="AB53" s="43">
        <f>I53</f>
        <v>7.38</v>
      </c>
    </row>
    <row r="54" spans="1:35" ht="15" x14ac:dyDescent="0.25">
      <c r="C54" s="32" t="s">
        <v>161</v>
      </c>
      <c r="H54" s="49">
        <f>I46+I47+I49+I50+I51+I52+0-0-0</f>
        <v>276.27</v>
      </c>
      <c r="I54" s="49"/>
      <c r="J54" s="49">
        <f>K46+K47+K49+K50+K51+K52+0-0-0</f>
        <v>9271.93</v>
      </c>
      <c r="K54" s="49"/>
    </row>
    <row r="55" spans="1:35" ht="15" x14ac:dyDescent="0.25">
      <c r="C55" s="32" t="s">
        <v>162</v>
      </c>
      <c r="H55" s="51">
        <f>0+0</f>
        <v>0</v>
      </c>
      <c r="I55" s="51"/>
      <c r="J55" s="51">
        <f>0+0</f>
        <v>0</v>
      </c>
      <c r="K55" s="51"/>
    </row>
    <row r="56" spans="1:35" ht="15" x14ac:dyDescent="0.25">
      <c r="C56" s="32" t="s">
        <v>163</v>
      </c>
      <c r="H56" s="51">
        <f>I46+I47+I49+I50+I51+I52+0</f>
        <v>276.27</v>
      </c>
      <c r="I56" s="51"/>
      <c r="J56" s="51">
        <f>K46+K47+K49+K50+K51+K52+0</f>
        <v>9271.93</v>
      </c>
      <c r="K56" s="51"/>
      <c r="O56" s="43">
        <f>I46+I47+I49+I50+I51+I52+0</f>
        <v>276.27</v>
      </c>
      <c r="P56" s="43">
        <f>K46+K47+K49+K50+K51+K52+0</f>
        <v>9271.93</v>
      </c>
      <c r="X56">
        <f>IF(Source!BI25&lt;=1,I46+I47+I49+I50+I51+I52-0, 0)</f>
        <v>0</v>
      </c>
      <c r="Y56">
        <f>IF(Source!BI25=2,I46+I47+I49+I50+I51+I52-0, 0)</f>
        <v>0</v>
      </c>
      <c r="Z56">
        <f>IF(Source!BI25=3,I46+I47+I49+I50+I51+I52-0, 0)</f>
        <v>0</v>
      </c>
      <c r="AA56">
        <f>IF(Source!BI25=4,I46+I47+I49+I50+I51+I52,0)</f>
        <v>276.27</v>
      </c>
    </row>
    <row r="58" spans="1:35" ht="114" x14ac:dyDescent="0.2">
      <c r="A58" s="39">
        <v>3</v>
      </c>
      <c r="B58" s="39" t="str">
        <f>Source!F26</f>
        <v>14.15-20-2</v>
      </c>
      <c r="C58" s="39" t="s">
        <v>29</v>
      </c>
      <c r="D58" s="40" t="str">
        <f>Source!H26</f>
        <v>1  ШТ.</v>
      </c>
      <c r="E58" s="10">
        <f>Source!I26</f>
        <v>9</v>
      </c>
      <c r="F58" s="42"/>
      <c r="G58" s="41"/>
      <c r="H58" s="10"/>
      <c r="I58" s="42"/>
      <c r="J58" s="10"/>
      <c r="K58" s="42"/>
      <c r="Q58">
        <f>ROUND((Source!DN26/100)*ROUND((ROUND((Source!AF26*Source!AV26*Source!I26),2)),2), 2)</f>
        <v>102.6</v>
      </c>
      <c r="R58">
        <f>Source!X26</f>
        <v>3449.16</v>
      </c>
      <c r="S58">
        <f>ROUND((Source!DO26/100)*ROUND((ROUND((Source!AF26*Source!AV26*Source!I26),2)),2), 2)</f>
        <v>70.540000000000006</v>
      </c>
      <c r="T58">
        <f>Source!Y26</f>
        <v>2020.22</v>
      </c>
      <c r="U58">
        <f>ROUND((175/100)*ROUND((ROUND((Source!AE26*Source!AV26*Source!I26),2)),2), 2)</f>
        <v>9.92</v>
      </c>
      <c r="V58">
        <f>ROUND((160/100)*ROUND(ROUND((ROUND((Source!AE26*Source!AV26*Source!I26),2)*Source!BS26),2), 2), 2)</f>
        <v>348.54</v>
      </c>
      <c r="AI58">
        <v>0</v>
      </c>
    </row>
    <row r="59" spans="1:35" ht="14.25" x14ac:dyDescent="0.2">
      <c r="A59" s="39"/>
      <c r="B59" s="39"/>
      <c r="C59" s="39" t="s">
        <v>154</v>
      </c>
      <c r="D59" s="40"/>
      <c r="E59" s="10"/>
      <c r="F59" s="42">
        <f>Source!AO26</f>
        <v>14.25</v>
      </c>
      <c r="G59" s="41" t="str">
        <f>Source!DG26</f>
        <v/>
      </c>
      <c r="H59" s="10">
        <f>Source!AV26</f>
        <v>1</v>
      </c>
      <c r="I59" s="42">
        <f>ROUND((ROUND((Source!AF26*Source!AV26*Source!I26),2)),2)</f>
        <v>128.25</v>
      </c>
      <c r="J59" s="10">
        <f>IF(Source!BA26&lt;&gt; 0, Source!BA26, 1)</f>
        <v>38.42</v>
      </c>
      <c r="K59" s="42">
        <f>Source!S26</f>
        <v>4927.37</v>
      </c>
      <c r="W59">
        <f>I59</f>
        <v>128.25</v>
      </c>
    </row>
    <row r="60" spans="1:35" ht="14.25" x14ac:dyDescent="0.2">
      <c r="A60" s="39"/>
      <c r="B60" s="39"/>
      <c r="C60" s="39" t="s">
        <v>164</v>
      </c>
      <c r="D60" s="40"/>
      <c r="E60" s="10"/>
      <c r="F60" s="42">
        <f>Source!AM26</f>
        <v>2.2000000000000002</v>
      </c>
      <c r="G60" s="41" t="str">
        <f>Source!DE26</f>
        <v/>
      </c>
      <c r="H60" s="10">
        <f>Source!AV26</f>
        <v>1</v>
      </c>
      <c r="I60" s="42">
        <f>(ROUND((ROUND(((Source!ET26)*Source!AV26*Source!I26),2)),2)+ROUND((ROUND(((Source!AE26-(Source!EU26))*Source!AV26*Source!I26),2)),2))</f>
        <v>19.8</v>
      </c>
      <c r="J60" s="10">
        <f>IF(Source!BB26&lt;&gt; 0, Source!BB26, 1)</f>
        <v>17.170000000000002</v>
      </c>
      <c r="K60" s="42">
        <f>Source!Q26</f>
        <v>339.97</v>
      </c>
    </row>
    <row r="61" spans="1:35" ht="14.25" x14ac:dyDescent="0.2">
      <c r="A61" s="39"/>
      <c r="B61" s="39"/>
      <c r="C61" s="39" t="s">
        <v>165</v>
      </c>
      <c r="D61" s="40"/>
      <c r="E61" s="10"/>
      <c r="F61" s="42">
        <f>Source!AN26</f>
        <v>0.63</v>
      </c>
      <c r="G61" s="41" t="str">
        <f>Source!DF26</f>
        <v/>
      </c>
      <c r="H61" s="10">
        <f>Source!AV26</f>
        <v>1</v>
      </c>
      <c r="I61" s="52">
        <f>ROUND((ROUND((Source!AE26*Source!AV26*Source!I26),2)),2)</f>
        <v>5.67</v>
      </c>
      <c r="J61" s="10">
        <f>IF(Source!BS26&lt;&gt; 0, Source!BS26, 1)</f>
        <v>38.42</v>
      </c>
      <c r="K61" s="52">
        <f>Source!R26</f>
        <v>217.84</v>
      </c>
      <c r="W61">
        <f>I61</f>
        <v>5.67</v>
      </c>
    </row>
    <row r="62" spans="1:35" ht="14.25" x14ac:dyDescent="0.2">
      <c r="A62" s="39"/>
      <c r="B62" s="39"/>
      <c r="C62" s="39" t="s">
        <v>155</v>
      </c>
      <c r="D62" s="40"/>
      <c r="E62" s="10"/>
      <c r="F62" s="42">
        <f>Source!AL26</f>
        <v>0.05</v>
      </c>
      <c r="G62" s="41" t="str">
        <f>Source!DD26</f>
        <v/>
      </c>
      <c r="H62" s="10">
        <f>Source!AW26</f>
        <v>1</v>
      </c>
      <c r="I62" s="42">
        <f>ROUND((ROUND((Source!AC26*Source!AW26*Source!I26),2)),2)</f>
        <v>0.45</v>
      </c>
      <c r="J62" s="10">
        <f>IF(Source!BC26&lt;&gt; 0, Source!BC26, 1)</f>
        <v>59</v>
      </c>
      <c r="K62" s="42">
        <f>Source!P26</f>
        <v>26.55</v>
      </c>
    </row>
    <row r="63" spans="1:35" ht="14.25" x14ac:dyDescent="0.2">
      <c r="A63" s="39"/>
      <c r="B63" s="39"/>
      <c r="C63" s="39" t="s">
        <v>156</v>
      </c>
      <c r="D63" s="40" t="s">
        <v>157</v>
      </c>
      <c r="E63" s="10">
        <f>Source!DN26</f>
        <v>80</v>
      </c>
      <c r="F63" s="42"/>
      <c r="G63" s="41"/>
      <c r="H63" s="10"/>
      <c r="I63" s="42">
        <f>SUM(Q58:Q62)</f>
        <v>102.6</v>
      </c>
      <c r="J63" s="10">
        <f>Source!BZ26</f>
        <v>70</v>
      </c>
      <c r="K63" s="42">
        <f>SUM(R58:R62)</f>
        <v>3449.16</v>
      </c>
    </row>
    <row r="64" spans="1:35" ht="14.25" x14ac:dyDescent="0.2">
      <c r="A64" s="39"/>
      <c r="B64" s="39"/>
      <c r="C64" s="39" t="s">
        <v>158</v>
      </c>
      <c r="D64" s="40" t="s">
        <v>157</v>
      </c>
      <c r="E64" s="10">
        <f>Source!DO26</f>
        <v>55</v>
      </c>
      <c r="F64" s="42"/>
      <c r="G64" s="41"/>
      <c r="H64" s="10"/>
      <c r="I64" s="42">
        <f>SUM(S58:S63)</f>
        <v>70.540000000000006</v>
      </c>
      <c r="J64" s="10">
        <f>Source!CA26</f>
        <v>41</v>
      </c>
      <c r="K64" s="42">
        <f>SUM(T58:T63)</f>
        <v>2020.22</v>
      </c>
    </row>
    <row r="65" spans="1:43" ht="14.25" x14ac:dyDescent="0.2">
      <c r="A65" s="39"/>
      <c r="B65" s="39"/>
      <c r="C65" s="39" t="s">
        <v>166</v>
      </c>
      <c r="D65" s="40" t="s">
        <v>157</v>
      </c>
      <c r="E65" s="10">
        <f>175</f>
        <v>175</v>
      </c>
      <c r="F65" s="42"/>
      <c r="G65" s="41"/>
      <c r="H65" s="10"/>
      <c r="I65" s="42">
        <f>SUM(U58:U64)</f>
        <v>9.92</v>
      </c>
      <c r="J65" s="10">
        <f>160</f>
        <v>160</v>
      </c>
      <c r="K65" s="42">
        <f>SUM(V58:V64)</f>
        <v>348.54</v>
      </c>
    </row>
    <row r="66" spans="1:43" ht="14.25" x14ac:dyDescent="0.2">
      <c r="A66" s="44"/>
      <c r="B66" s="44"/>
      <c r="C66" s="44" t="s">
        <v>159</v>
      </c>
      <c r="D66" s="45" t="s">
        <v>160</v>
      </c>
      <c r="E66" s="46">
        <f>Source!AQ26</f>
        <v>0.98</v>
      </c>
      <c r="F66" s="47"/>
      <c r="G66" s="48" t="str">
        <f>Source!DI26</f>
        <v/>
      </c>
      <c r="H66" s="46">
        <f>Source!AV26</f>
        <v>1</v>
      </c>
      <c r="I66" s="47">
        <f>Source!U26</f>
        <v>8.82</v>
      </c>
      <c r="J66" s="46"/>
      <c r="K66" s="47"/>
      <c r="AB66" s="43">
        <f>I66</f>
        <v>8.82</v>
      </c>
    </row>
    <row r="67" spans="1:43" ht="15" x14ac:dyDescent="0.25">
      <c r="C67" s="32" t="s">
        <v>161</v>
      </c>
      <c r="H67" s="49">
        <f>I59+I60+I62+I63+I64+I65+0-0-0</f>
        <v>331.56</v>
      </c>
      <c r="I67" s="49"/>
      <c r="J67" s="49">
        <f>K59+K60+K62+K63+K64+K65+0-0-0</f>
        <v>11111.81</v>
      </c>
      <c r="K67" s="49"/>
    </row>
    <row r="68" spans="1:43" ht="15" x14ac:dyDescent="0.25">
      <c r="C68" s="32" t="s">
        <v>162</v>
      </c>
      <c r="H68" s="51">
        <f>0+0</f>
        <v>0</v>
      </c>
      <c r="I68" s="51"/>
      <c r="J68" s="51">
        <f>0+0</f>
        <v>0</v>
      </c>
      <c r="K68" s="51"/>
    </row>
    <row r="69" spans="1:43" ht="15" x14ac:dyDescent="0.25">
      <c r="C69" s="32" t="s">
        <v>163</v>
      </c>
      <c r="H69" s="51">
        <f>I59+I60+I62+I63+I64+I65+0</f>
        <v>331.56</v>
      </c>
      <c r="I69" s="51"/>
      <c r="J69" s="51">
        <f>K59+K60+K62+K63+K64+K65+0</f>
        <v>11111.81</v>
      </c>
      <c r="K69" s="51"/>
      <c r="O69" s="43">
        <f>I59+I60+I62+I63+I64+I65+0</f>
        <v>331.56</v>
      </c>
      <c r="P69" s="43">
        <f>K59+K60+K62+K63+K64+K65+0</f>
        <v>11111.81</v>
      </c>
      <c r="X69">
        <f>IF(Source!BI26&lt;=1,I59+I60+I62+I63+I64+I65-0, 0)</f>
        <v>0</v>
      </c>
      <c r="Y69">
        <f>IF(Source!BI26=2,I59+I60+I62+I63+I64+I65-0, 0)</f>
        <v>0</v>
      </c>
      <c r="Z69">
        <f>IF(Source!BI26=3,I59+I60+I62+I63+I64+I65-0, 0)</f>
        <v>0</v>
      </c>
      <c r="AA69">
        <f>IF(Source!BI26=4,I59+I60+I62+I63+I64+I65,0)</f>
        <v>331.56</v>
      </c>
    </row>
    <row r="72" spans="1:43" ht="30" x14ac:dyDescent="0.25">
      <c r="A72" s="53" t="str">
        <f>CONCATENATE("Итого по локальной смете: ",IF(Source!G28&lt;&gt;"Новая локальная смета", Source!G28, ""))</f>
        <v>Итого по локальной смете: №272-26.12.24 Р ТСН Смета на обслуживание шлагбаумов (Вячеслав Козлов)</v>
      </c>
      <c r="B72" s="53"/>
      <c r="C72" s="53"/>
      <c r="D72" s="53"/>
      <c r="E72" s="53"/>
      <c r="F72" s="53"/>
      <c r="G72" s="53"/>
      <c r="H72" s="51">
        <f>SUM(O35:O71)</f>
        <v>4520.0800000000008</v>
      </c>
      <c r="I72" s="50"/>
      <c r="J72" s="51">
        <f>SUM(P35:P71)</f>
        <v>153823.87</v>
      </c>
      <c r="K72" s="50"/>
      <c r="AQ72" s="54" t="str">
        <f>CONCATENATE("Итого по локальной смете: ",IF(Source!G28&lt;&gt;"Новая локальная смета", Source!G28, ""))</f>
        <v>Итого по локальной смете: №272-26.12.24 Р ТСН Смета на обслуживание шлагбаумов (Вячеслав Козлов)</v>
      </c>
    </row>
    <row r="73" spans="1:43" hidden="1" x14ac:dyDescent="0.2">
      <c r="A73" t="s">
        <v>167</v>
      </c>
      <c r="H73">
        <f>SUM(AC35:AC72)</f>
        <v>0</v>
      </c>
      <c r="J73">
        <f>SUM(AD35:AD72)</f>
        <v>0</v>
      </c>
    </row>
    <row r="74" spans="1:43" hidden="1" x14ac:dyDescent="0.2">
      <c r="A74" t="s">
        <v>168</v>
      </c>
      <c r="H74">
        <f>SUM(AE35:AE73)</f>
        <v>0</v>
      </c>
      <c r="J74">
        <f>SUM(AF35:AF73)</f>
        <v>0</v>
      </c>
    </row>
    <row r="75" spans="1:43" ht="14.25" x14ac:dyDescent="0.2">
      <c r="C75" s="55" t="str">
        <f>Source!H57</f>
        <v>Итого</v>
      </c>
      <c r="D75" s="55"/>
      <c r="E75" s="55"/>
      <c r="F75" s="55"/>
      <c r="G75" s="55"/>
      <c r="H75" s="55"/>
      <c r="I75" s="55"/>
      <c r="J75" s="56">
        <f>IF(Source!F57=0, "", Source!F57)</f>
        <v>153823.87</v>
      </c>
      <c r="K75" s="56"/>
    </row>
    <row r="76" spans="1:43" ht="14.25" x14ac:dyDescent="0.2">
      <c r="C76" s="55" t="str">
        <f>Source!H58</f>
        <v>ТО 1 единицы оборудования (раз в квартал)</v>
      </c>
      <c r="D76" s="55"/>
      <c r="E76" s="55"/>
      <c r="F76" s="55"/>
      <c r="G76" s="55"/>
      <c r="H76" s="55"/>
      <c r="I76" s="55"/>
      <c r="J76" s="56">
        <f>IF(Source!F58=0, "", Source!F58)</f>
        <v>6200</v>
      </c>
      <c r="K76" s="56"/>
    </row>
    <row r="77" spans="1:43" ht="14.25" x14ac:dyDescent="0.2">
      <c r="C77" s="55" t="str">
        <f>Source!H59</f>
        <v>ТО 9 единиц оборудования (раз в квартал)</v>
      </c>
      <c r="D77" s="55"/>
      <c r="E77" s="55"/>
      <c r="F77" s="55"/>
      <c r="G77" s="55"/>
      <c r="H77" s="55"/>
      <c r="I77" s="55"/>
      <c r="J77" s="56">
        <f>IF(Source!F59=0, "", Source!F59)</f>
        <v>55800</v>
      </c>
      <c r="K77" s="56"/>
    </row>
    <row r="78" spans="1:43" ht="14.25" x14ac:dyDescent="0.2">
      <c r="C78" s="55" t="str">
        <f>Source!H60</f>
        <v>Общая стоимость ТО за отчетный период</v>
      </c>
      <c r="D78" s="55"/>
      <c r="E78" s="55"/>
      <c r="F78" s="55"/>
      <c r="G78" s="55"/>
      <c r="H78" s="55"/>
      <c r="I78" s="55"/>
      <c r="J78" s="56">
        <f>IF(Source!F60=0, "", Source!F60)</f>
        <v>279000</v>
      </c>
      <c r="K78" s="56"/>
    </row>
    <row r="81" spans="1:11" ht="14.25" x14ac:dyDescent="0.2">
      <c r="A81" s="57" t="s">
        <v>170</v>
      </c>
      <c r="B81" s="57"/>
      <c r="C81" s="58" t="str">
        <f>IF(Source!AC12&lt;&gt;"", Source!AC12," ")</f>
        <v xml:space="preserve"> </v>
      </c>
      <c r="D81" s="58"/>
      <c r="E81" s="58"/>
      <c r="F81" s="58"/>
      <c r="G81" s="58"/>
      <c r="H81" s="14" t="str">
        <f>IF(Source!AB12&lt;&gt;"", Source!AB12," ")</f>
        <v xml:space="preserve"> </v>
      </c>
      <c r="I81" s="14"/>
      <c r="J81" s="14"/>
      <c r="K81" s="14"/>
    </row>
    <row r="82" spans="1:11" ht="14.25" x14ac:dyDescent="0.2">
      <c r="A82" s="11"/>
      <c r="B82" s="11"/>
      <c r="C82" s="22" t="s">
        <v>171</v>
      </c>
      <c r="D82" s="22"/>
      <c r="E82" s="22"/>
      <c r="F82" s="22"/>
      <c r="G82" s="22"/>
      <c r="H82" s="11"/>
      <c r="I82" s="11"/>
      <c r="J82" s="11"/>
      <c r="K82" s="11"/>
    </row>
    <row r="83" spans="1:11" ht="14.25" x14ac:dyDescent="0.2">
      <c r="A83" s="11"/>
      <c r="B83" s="11"/>
      <c r="C83" s="11"/>
      <c r="D83" s="11"/>
      <c r="E83" s="11"/>
      <c r="F83" s="11"/>
      <c r="G83" s="11"/>
      <c r="H83" s="11"/>
      <c r="I83" s="11"/>
      <c r="J83" s="11"/>
      <c r="K83" s="11"/>
    </row>
    <row r="84" spans="1:11" ht="14.25" x14ac:dyDescent="0.2">
      <c r="A84" s="57" t="s">
        <v>172</v>
      </c>
      <c r="B84" s="57"/>
      <c r="C84" s="58" t="str">
        <f>IF(Source!AE12&lt;&gt;"", Source!AE12," ")</f>
        <v xml:space="preserve"> </v>
      </c>
      <c r="D84" s="58"/>
      <c r="E84" s="58"/>
      <c r="F84" s="58"/>
      <c r="G84" s="58"/>
      <c r="H84" s="14" t="str">
        <f>IF(Source!AD12&lt;&gt;"", Source!AD12," ")</f>
        <v xml:space="preserve"> </v>
      </c>
      <c r="I84" s="14"/>
      <c r="J84" s="14"/>
      <c r="K84" s="14"/>
    </row>
    <row r="85" spans="1:11" ht="14.25" x14ac:dyDescent="0.2">
      <c r="A85" s="11"/>
      <c r="B85" s="11"/>
      <c r="C85" s="22" t="s">
        <v>171</v>
      </c>
      <c r="D85" s="22"/>
      <c r="E85" s="22"/>
      <c r="F85" s="22"/>
      <c r="G85" s="22"/>
      <c r="H85" s="11"/>
      <c r="I85" s="11"/>
      <c r="J85" s="11"/>
      <c r="K85" s="11"/>
    </row>
  </sheetData>
  <mergeCells count="60">
    <mergeCell ref="C82:G82"/>
    <mergeCell ref="A84:B84"/>
    <mergeCell ref="H84:K84"/>
    <mergeCell ref="C85:G85"/>
    <mergeCell ref="C77:I77"/>
    <mergeCell ref="J77:K77"/>
    <mergeCell ref="C78:I78"/>
    <mergeCell ref="J78:K78"/>
    <mergeCell ref="A81:B81"/>
    <mergeCell ref="H81:K81"/>
    <mergeCell ref="J72:K72"/>
    <mergeCell ref="H72:I72"/>
    <mergeCell ref="A72:G72"/>
    <mergeCell ref="C75:I75"/>
    <mergeCell ref="J75:K75"/>
    <mergeCell ref="C76:I76"/>
    <mergeCell ref="J76:K76"/>
    <mergeCell ref="H67:I67"/>
    <mergeCell ref="J67:K67"/>
    <mergeCell ref="H68:I68"/>
    <mergeCell ref="J68:K68"/>
    <mergeCell ref="H69:I69"/>
    <mergeCell ref="J69:K69"/>
    <mergeCell ref="H54:I54"/>
    <mergeCell ref="J54:K54"/>
    <mergeCell ref="H55:I55"/>
    <mergeCell ref="J55:K55"/>
    <mergeCell ref="H56:I56"/>
    <mergeCell ref="J56:K56"/>
    <mergeCell ref="A32:K32"/>
    <mergeCell ref="H41:I41"/>
    <mergeCell ref="J41:K41"/>
    <mergeCell ref="H42:I42"/>
    <mergeCell ref="J42:K42"/>
    <mergeCell ref="H43:I43"/>
    <mergeCell ref="J43:K43"/>
    <mergeCell ref="E24:H24"/>
    <mergeCell ref="E25:H25"/>
    <mergeCell ref="E26:H26"/>
    <mergeCell ref="E27:H27"/>
    <mergeCell ref="E28:H28"/>
    <mergeCell ref="E29:H29"/>
    <mergeCell ref="A15:K15"/>
    <mergeCell ref="A16:K16"/>
    <mergeCell ref="A18:K18"/>
    <mergeCell ref="E21:H21"/>
    <mergeCell ref="E22:H22"/>
    <mergeCell ref="E23:H23"/>
    <mergeCell ref="B7:E7"/>
    <mergeCell ref="G7:K7"/>
    <mergeCell ref="J2:K2"/>
    <mergeCell ref="A10:K10"/>
    <mergeCell ref="A11:K11"/>
    <mergeCell ref="A13:K13"/>
    <mergeCell ref="B3:E3"/>
    <mergeCell ref="G3:K3"/>
    <mergeCell ref="B4:E4"/>
    <mergeCell ref="G4:K4"/>
    <mergeCell ref="B6:E6"/>
    <mergeCell ref="G6:K6"/>
  </mergeCells>
  <pageMargins left="0.4" right="0.2" top="0.2" bottom="0.4" header="0.2" footer="0.2"/>
  <pageSetup paperSize="9" scale="73" fitToHeight="0" orientation="portrait" r:id="rId1"/>
  <headerFooter>
    <oddHeader>&amp;L&amp;8</oddHead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2"/>
  <sheetViews>
    <sheetView tabSelected="1" topLeftCell="A22" zoomScaleNormal="100" workbookViewId="0">
      <selection activeCell="E35" sqref="E12:F35"/>
    </sheetView>
  </sheetViews>
  <sheetFormatPr defaultRowHeight="12.75" x14ac:dyDescent="0.2"/>
  <cols>
    <col min="1" max="1" width="12.28515625" customWidth="1"/>
    <col min="2" max="2" width="40.7109375" customWidth="1"/>
    <col min="3" max="3" width="11.7109375" customWidth="1"/>
    <col min="4" max="4" width="8.140625" bestFit="1" customWidth="1"/>
    <col min="5" max="5" width="10.140625" bestFit="1" customWidth="1"/>
    <col min="6" max="6" width="13.140625" bestFit="1" customWidth="1"/>
    <col min="7" max="9" width="11.28515625" bestFit="1" customWidth="1"/>
    <col min="12" max="39" width="0" hidden="1" customWidth="1"/>
    <col min="40" max="40" width="129.7109375" hidden="1" customWidth="1"/>
    <col min="41" max="43" width="96" hidden="1" customWidth="1"/>
    <col min="44" max="45" width="0" hidden="1" customWidth="1"/>
  </cols>
  <sheetData>
    <row r="1" spans="1:33" ht="14.25" x14ac:dyDescent="0.2">
      <c r="A1" s="11"/>
      <c r="B1" s="11"/>
      <c r="C1" s="11"/>
      <c r="D1" s="11"/>
      <c r="E1" s="11"/>
      <c r="F1" s="11"/>
      <c r="G1" s="11"/>
      <c r="H1" s="11"/>
      <c r="I1" s="11"/>
    </row>
    <row r="2" spans="1:33" ht="15.75" customHeight="1" x14ac:dyDescent="0.25">
      <c r="A2" s="21" t="s">
        <v>5</v>
      </c>
      <c r="B2" s="21"/>
      <c r="C2" s="21"/>
      <c r="D2" s="21"/>
      <c r="E2" s="21"/>
      <c r="F2" s="21"/>
      <c r="G2" s="21"/>
      <c r="H2" s="21"/>
      <c r="I2" s="21"/>
    </row>
    <row r="3" spans="1:33" x14ac:dyDescent="0.2">
      <c r="A3" s="22" t="s">
        <v>129</v>
      </c>
      <c r="B3" s="22"/>
      <c r="C3" s="22"/>
      <c r="D3" s="22"/>
      <c r="E3" s="22"/>
      <c r="F3" s="22"/>
      <c r="G3" s="22"/>
      <c r="H3" s="22"/>
      <c r="I3" s="22"/>
    </row>
    <row r="4" spans="1:33" ht="14.25" x14ac:dyDescent="0.2">
      <c r="A4" s="11"/>
      <c r="B4" s="11"/>
      <c r="C4" s="11"/>
      <c r="D4" s="11"/>
      <c r="E4" s="11"/>
      <c r="F4" s="11"/>
      <c r="G4" s="11"/>
      <c r="H4" s="11"/>
      <c r="I4" s="11"/>
    </row>
    <row r="5" spans="1:33" ht="15.75" customHeight="1" x14ac:dyDescent="0.25">
      <c r="A5" s="21" t="s">
        <v>173</v>
      </c>
      <c r="B5" s="21"/>
      <c r="C5" s="21"/>
      <c r="D5" s="21"/>
      <c r="E5" s="21"/>
      <c r="F5" s="21"/>
      <c r="G5" s="21"/>
      <c r="H5" s="21"/>
      <c r="I5" s="21"/>
    </row>
    <row r="6" spans="1:33" ht="14.25" x14ac:dyDescent="0.2">
      <c r="A6" s="11"/>
      <c r="B6" s="11"/>
      <c r="C6" s="11"/>
      <c r="D6" s="11"/>
      <c r="E6" s="11"/>
      <c r="F6" s="11"/>
      <c r="G6" s="11"/>
      <c r="H6" s="11"/>
      <c r="I6" s="11"/>
    </row>
    <row r="7" spans="1:33" ht="18" customHeight="1" x14ac:dyDescent="0.25">
      <c r="A7" s="24" t="s">
        <v>5</v>
      </c>
      <c r="B7" s="24"/>
      <c r="C7" s="24"/>
      <c r="D7" s="24"/>
      <c r="E7" s="24"/>
      <c r="F7" s="24"/>
      <c r="G7" s="24"/>
      <c r="H7" s="24"/>
      <c r="I7" s="24"/>
    </row>
    <row r="8" spans="1:33" ht="12.75" customHeight="1" x14ac:dyDescent="0.2">
      <c r="A8" s="60" t="s">
        <v>130</v>
      </c>
      <c r="B8" s="60"/>
      <c r="C8" s="60"/>
      <c r="D8" s="60"/>
      <c r="E8" s="60"/>
      <c r="F8" s="60"/>
      <c r="G8" s="60"/>
      <c r="H8" s="60"/>
      <c r="I8" s="60"/>
    </row>
    <row r="9" spans="1:33" ht="14.25" x14ac:dyDescent="0.2">
      <c r="A9" s="11"/>
      <c r="B9" s="11"/>
      <c r="C9" s="11"/>
      <c r="D9" s="11"/>
      <c r="E9" s="11"/>
      <c r="F9" s="11"/>
      <c r="G9" s="11"/>
      <c r="H9" s="11"/>
      <c r="I9" s="11"/>
    </row>
    <row r="10" spans="1:33" ht="114" customHeight="1" x14ac:dyDescent="0.2">
      <c r="A10" s="36" t="s">
        <v>141</v>
      </c>
      <c r="B10" s="36" t="s">
        <v>143</v>
      </c>
      <c r="C10" s="36" t="s">
        <v>144</v>
      </c>
      <c r="D10" s="36" t="s">
        <v>145</v>
      </c>
      <c r="E10" s="36" t="s">
        <v>177</v>
      </c>
      <c r="F10" s="36" t="s">
        <v>178</v>
      </c>
      <c r="G10" s="36" t="s">
        <v>179</v>
      </c>
      <c r="H10" s="36" t="s">
        <v>180</v>
      </c>
      <c r="I10" s="36" t="s">
        <v>181</v>
      </c>
    </row>
    <row r="11" spans="1:33" ht="14.25" x14ac:dyDescent="0.2">
      <c r="A11" s="36">
        <v>1</v>
      </c>
      <c r="B11" s="36">
        <v>3</v>
      </c>
      <c r="C11" s="36">
        <v>4</v>
      </c>
      <c r="D11" s="36">
        <v>5</v>
      </c>
      <c r="E11" s="36">
        <v>6</v>
      </c>
      <c r="F11" s="36">
        <v>7</v>
      </c>
      <c r="G11" s="36">
        <v>9</v>
      </c>
      <c r="H11" s="36">
        <v>10</v>
      </c>
      <c r="I11" s="36">
        <v>11</v>
      </c>
    </row>
    <row r="12" spans="1:33" ht="142.5" x14ac:dyDescent="0.2">
      <c r="A12" s="61">
        <v>1</v>
      </c>
      <c r="B12" s="61" t="s">
        <v>123</v>
      </c>
      <c r="C12" s="62" t="s">
        <v>17</v>
      </c>
      <c r="D12" s="63">
        <v>9</v>
      </c>
      <c r="E12" s="64">
        <v>5359.1267077079901</v>
      </c>
      <c r="F12" s="65">
        <v>19.289567997476599</v>
      </c>
      <c r="G12" s="64">
        <f>E12*D12</f>
        <v>48232.140369371911</v>
      </c>
      <c r="H12" s="64">
        <f>F12*D12</f>
        <v>173.6061119772894</v>
      </c>
      <c r="I12" s="64">
        <f>G12+H12</f>
        <v>48405.746481349197</v>
      </c>
      <c r="O12">
        <v>1312.13</v>
      </c>
      <c r="P12">
        <v>44110.47</v>
      </c>
      <c r="Q12">
        <v>902.09</v>
      </c>
      <c r="R12">
        <v>25836.13</v>
      </c>
      <c r="S12">
        <v>0</v>
      </c>
      <c r="T12">
        <v>0</v>
      </c>
      <c r="AG12">
        <v>0</v>
      </c>
    </row>
    <row r="13" spans="1:33" ht="14.25" hidden="1" customHeight="1" x14ac:dyDescent="0.2">
      <c r="A13" s="61"/>
      <c r="B13" s="61" t="s">
        <v>154</v>
      </c>
      <c r="C13" s="62"/>
      <c r="D13" s="63"/>
      <c r="E13" s="66">
        <v>182.24</v>
      </c>
      <c r="F13" s="67" t="s">
        <v>3</v>
      </c>
      <c r="G13" s="66">
        <v>1640.16</v>
      </c>
      <c r="H13" s="63">
        <v>38.42</v>
      </c>
      <c r="I13" s="66">
        <v>63014.95</v>
      </c>
      <c r="U13">
        <v>1640.16</v>
      </c>
    </row>
    <row r="14" spans="1:33" ht="14.25" hidden="1" customHeight="1" x14ac:dyDescent="0.2">
      <c r="A14" s="61"/>
      <c r="B14" s="61" t="s">
        <v>155</v>
      </c>
      <c r="C14" s="62"/>
      <c r="D14" s="63"/>
      <c r="E14" s="66">
        <v>6.43</v>
      </c>
      <c r="F14" s="67" t="s">
        <v>3</v>
      </c>
      <c r="G14" s="66">
        <v>57.87</v>
      </c>
      <c r="H14" s="63">
        <v>8.27</v>
      </c>
      <c r="I14" s="66">
        <v>478.58</v>
      </c>
    </row>
    <row r="15" spans="1:33" ht="14.25" hidden="1" customHeight="1" x14ac:dyDescent="0.2">
      <c r="A15" s="61"/>
      <c r="B15" s="61" t="s">
        <v>156</v>
      </c>
      <c r="C15" s="62" t="s">
        <v>157</v>
      </c>
      <c r="D15" s="63">
        <v>80</v>
      </c>
      <c r="E15" s="66"/>
      <c r="F15" s="67"/>
      <c r="G15" s="66">
        <v>1312.13</v>
      </c>
      <c r="H15" s="63">
        <v>70</v>
      </c>
      <c r="I15" s="66">
        <v>44110.47</v>
      </c>
    </row>
    <row r="16" spans="1:33" ht="14.25" hidden="1" customHeight="1" x14ac:dyDescent="0.2">
      <c r="A16" s="61"/>
      <c r="B16" s="61" t="s">
        <v>158</v>
      </c>
      <c r="C16" s="62" t="s">
        <v>157</v>
      </c>
      <c r="D16" s="63">
        <v>55</v>
      </c>
      <c r="E16" s="66"/>
      <c r="F16" s="67"/>
      <c r="G16" s="66">
        <v>902.09</v>
      </c>
      <c r="H16" s="63">
        <v>41</v>
      </c>
      <c r="I16" s="66">
        <v>25836.13</v>
      </c>
    </row>
    <row r="17" spans="1:33" ht="14.25" hidden="1" customHeight="1" x14ac:dyDescent="0.2">
      <c r="A17" s="61"/>
      <c r="B17" s="61" t="s">
        <v>159</v>
      </c>
      <c r="C17" s="62" t="s">
        <v>160</v>
      </c>
      <c r="D17" s="63">
        <v>14.44</v>
      </c>
      <c r="E17" s="66"/>
      <c r="F17" s="67" t="s">
        <v>3</v>
      </c>
      <c r="G17" s="66">
        <v>129.96</v>
      </c>
      <c r="H17" s="63"/>
      <c r="I17" s="66"/>
      <c r="Z17" s="43">
        <v>129.96</v>
      </c>
    </row>
    <row r="18" spans="1:33" ht="15" hidden="1" customHeight="1" x14ac:dyDescent="0.25">
      <c r="A18" s="68"/>
      <c r="B18" s="69" t="s">
        <v>161</v>
      </c>
      <c r="C18" s="68"/>
      <c r="D18" s="68"/>
      <c r="E18" s="68"/>
      <c r="F18" s="68"/>
      <c r="G18" s="70"/>
      <c r="H18" s="76">
        <v>133440.13</v>
      </c>
      <c r="I18" s="77"/>
    </row>
    <row r="19" spans="1:33" ht="15" hidden="1" customHeight="1" x14ac:dyDescent="0.25">
      <c r="A19" s="68"/>
      <c r="B19" s="69" t="s">
        <v>162</v>
      </c>
      <c r="C19" s="68"/>
      <c r="D19" s="68"/>
      <c r="E19" s="68"/>
      <c r="F19" s="68"/>
      <c r="G19" s="70"/>
      <c r="H19" s="76">
        <v>0</v>
      </c>
      <c r="I19" s="77"/>
    </row>
    <row r="20" spans="1:33" ht="15" hidden="1" customHeight="1" x14ac:dyDescent="0.25">
      <c r="A20" s="68"/>
      <c r="B20" s="69" t="s">
        <v>163</v>
      </c>
      <c r="C20" s="68"/>
      <c r="D20" s="68"/>
      <c r="E20" s="68"/>
      <c r="F20" s="68"/>
      <c r="G20" s="70"/>
      <c r="H20" s="76">
        <v>133440.13</v>
      </c>
      <c r="I20" s="77"/>
      <c r="M20" s="43">
        <v>3912.25</v>
      </c>
      <c r="N20" s="43">
        <v>133440.13</v>
      </c>
      <c r="V20">
        <v>0</v>
      </c>
      <c r="W20">
        <v>0</v>
      </c>
      <c r="X20">
        <v>0</v>
      </c>
      <c r="Y20">
        <v>3912.25</v>
      </c>
    </row>
    <row r="21" spans="1:33" ht="12.75" hidden="1" customHeight="1" x14ac:dyDescent="0.2">
      <c r="A21" s="68"/>
      <c r="B21" s="68"/>
      <c r="C21" s="68"/>
      <c r="D21" s="68"/>
      <c r="E21" s="68"/>
      <c r="F21" s="68"/>
      <c r="G21" s="68"/>
      <c r="H21" s="68"/>
      <c r="I21" s="68"/>
    </row>
    <row r="22" spans="1:33" ht="185.25" x14ac:dyDescent="0.2">
      <c r="A22" s="61">
        <v>2</v>
      </c>
      <c r="B22" s="61" t="s">
        <v>124</v>
      </c>
      <c r="C22" s="62" t="s">
        <v>17</v>
      </c>
      <c r="D22" s="63">
        <v>9</v>
      </c>
      <c r="E22" s="64">
        <v>372.64278944483527</v>
      </c>
      <c r="F22" s="65">
        <v>1.0701200015316212</v>
      </c>
      <c r="G22" s="64">
        <f>E22*D22</f>
        <v>3353.7851050035174</v>
      </c>
      <c r="H22" s="64">
        <f>F22*D22</f>
        <v>9.6310800137845902</v>
      </c>
      <c r="I22" s="64">
        <f>G22+H22</f>
        <v>3363.4161850173018</v>
      </c>
      <c r="O22">
        <v>85.82</v>
      </c>
      <c r="P22">
        <v>2885.19</v>
      </c>
      <c r="Q22">
        <v>59</v>
      </c>
      <c r="R22">
        <v>1689.9</v>
      </c>
      <c r="S22">
        <v>7.88</v>
      </c>
      <c r="T22">
        <v>276.62</v>
      </c>
      <c r="AG22">
        <v>0</v>
      </c>
    </row>
    <row r="23" spans="1:33" ht="14.25" hidden="1" customHeight="1" x14ac:dyDescent="0.2">
      <c r="A23" s="61"/>
      <c r="B23" s="61" t="s">
        <v>154</v>
      </c>
      <c r="C23" s="62"/>
      <c r="D23" s="63"/>
      <c r="E23" s="66">
        <v>11.92</v>
      </c>
      <c r="F23" s="67" t="s">
        <v>3</v>
      </c>
      <c r="G23" s="66">
        <v>107.28</v>
      </c>
      <c r="H23" s="63">
        <v>38.42</v>
      </c>
      <c r="I23" s="66">
        <v>4121.7</v>
      </c>
      <c r="U23">
        <v>107.28</v>
      </c>
    </row>
    <row r="24" spans="1:33" ht="14.25" hidden="1" customHeight="1" x14ac:dyDescent="0.2">
      <c r="A24" s="61"/>
      <c r="B24" s="61" t="s">
        <v>164</v>
      </c>
      <c r="C24" s="62"/>
      <c r="D24" s="63"/>
      <c r="E24" s="66">
        <v>1.76</v>
      </c>
      <c r="F24" s="67" t="s">
        <v>3</v>
      </c>
      <c r="G24" s="66">
        <v>15.84</v>
      </c>
      <c r="H24" s="63">
        <v>17.170000000000002</v>
      </c>
      <c r="I24" s="66">
        <v>271.97000000000003</v>
      </c>
    </row>
    <row r="25" spans="1:33" ht="14.25" hidden="1" customHeight="1" x14ac:dyDescent="0.2">
      <c r="A25" s="61"/>
      <c r="B25" s="61" t="s">
        <v>165</v>
      </c>
      <c r="C25" s="62"/>
      <c r="D25" s="63"/>
      <c r="E25" s="66">
        <v>0.5</v>
      </c>
      <c r="F25" s="67" t="s">
        <v>3</v>
      </c>
      <c r="G25" s="72">
        <v>4.5</v>
      </c>
      <c r="H25" s="63">
        <v>38.42</v>
      </c>
      <c r="I25" s="72">
        <v>172.89</v>
      </c>
      <c r="U25">
        <v>4.5</v>
      </c>
    </row>
    <row r="26" spans="1:33" ht="14.25" hidden="1" customHeight="1" x14ac:dyDescent="0.2">
      <c r="A26" s="61"/>
      <c r="B26" s="61" t="s">
        <v>155</v>
      </c>
      <c r="C26" s="62"/>
      <c r="D26" s="63"/>
      <c r="E26" s="66">
        <v>0.05</v>
      </c>
      <c r="F26" s="67" t="s">
        <v>3</v>
      </c>
      <c r="G26" s="66">
        <v>0.45</v>
      </c>
      <c r="H26" s="63">
        <v>59</v>
      </c>
      <c r="I26" s="66">
        <v>26.55</v>
      </c>
    </row>
    <row r="27" spans="1:33" ht="14.25" hidden="1" customHeight="1" x14ac:dyDescent="0.2">
      <c r="A27" s="61"/>
      <c r="B27" s="61" t="s">
        <v>156</v>
      </c>
      <c r="C27" s="62" t="s">
        <v>157</v>
      </c>
      <c r="D27" s="63">
        <v>80</v>
      </c>
      <c r="E27" s="66"/>
      <c r="F27" s="67"/>
      <c r="G27" s="66">
        <v>85.82</v>
      </c>
      <c r="H27" s="63">
        <v>70</v>
      </c>
      <c r="I27" s="66">
        <v>2885.19</v>
      </c>
    </row>
    <row r="28" spans="1:33" ht="14.25" hidden="1" customHeight="1" x14ac:dyDescent="0.2">
      <c r="A28" s="61"/>
      <c r="B28" s="61" t="s">
        <v>158</v>
      </c>
      <c r="C28" s="62" t="s">
        <v>157</v>
      </c>
      <c r="D28" s="63">
        <v>55</v>
      </c>
      <c r="E28" s="66"/>
      <c r="F28" s="67"/>
      <c r="G28" s="66">
        <v>59</v>
      </c>
      <c r="H28" s="63">
        <v>41</v>
      </c>
      <c r="I28" s="66">
        <v>1689.9</v>
      </c>
    </row>
    <row r="29" spans="1:33" ht="14.25" hidden="1" customHeight="1" x14ac:dyDescent="0.2">
      <c r="A29" s="61"/>
      <c r="B29" s="61" t="s">
        <v>166</v>
      </c>
      <c r="C29" s="62" t="s">
        <v>157</v>
      </c>
      <c r="D29" s="63">
        <v>175</v>
      </c>
      <c r="E29" s="66"/>
      <c r="F29" s="67"/>
      <c r="G29" s="66">
        <v>7.88</v>
      </c>
      <c r="H29" s="63">
        <v>160</v>
      </c>
      <c r="I29" s="66">
        <v>276.62</v>
      </c>
    </row>
    <row r="30" spans="1:33" ht="14.25" hidden="1" customHeight="1" x14ac:dyDescent="0.2">
      <c r="A30" s="61"/>
      <c r="B30" s="61" t="s">
        <v>159</v>
      </c>
      <c r="C30" s="62" t="s">
        <v>160</v>
      </c>
      <c r="D30" s="63">
        <v>0.82</v>
      </c>
      <c r="E30" s="66"/>
      <c r="F30" s="67" t="s">
        <v>3</v>
      </c>
      <c r="G30" s="66">
        <v>7.38</v>
      </c>
      <c r="H30" s="63"/>
      <c r="I30" s="66"/>
      <c r="Z30" s="43">
        <v>7.38</v>
      </c>
    </row>
    <row r="31" spans="1:33" ht="15" hidden="1" customHeight="1" x14ac:dyDescent="0.25">
      <c r="A31" s="68"/>
      <c r="B31" s="69" t="s">
        <v>161</v>
      </c>
      <c r="C31" s="68"/>
      <c r="D31" s="68"/>
      <c r="E31" s="68"/>
      <c r="F31" s="68"/>
      <c r="G31" s="70"/>
      <c r="H31" s="76">
        <v>9271.93</v>
      </c>
      <c r="I31" s="77"/>
    </row>
    <row r="32" spans="1:33" ht="15" hidden="1" customHeight="1" x14ac:dyDescent="0.25">
      <c r="A32" s="68"/>
      <c r="B32" s="69" t="s">
        <v>162</v>
      </c>
      <c r="C32" s="68"/>
      <c r="D32" s="68"/>
      <c r="E32" s="68"/>
      <c r="F32" s="68"/>
      <c r="G32" s="70"/>
      <c r="H32" s="76">
        <v>0</v>
      </c>
      <c r="I32" s="77"/>
    </row>
    <row r="33" spans="1:33" ht="15" hidden="1" customHeight="1" x14ac:dyDescent="0.25">
      <c r="A33" s="68"/>
      <c r="B33" s="69" t="s">
        <v>163</v>
      </c>
      <c r="C33" s="68"/>
      <c r="D33" s="68"/>
      <c r="E33" s="68"/>
      <c r="F33" s="68"/>
      <c r="G33" s="70"/>
      <c r="H33" s="76">
        <v>9271.93</v>
      </c>
      <c r="I33" s="77"/>
      <c r="M33" s="43">
        <v>276.27</v>
      </c>
      <c r="N33" s="43">
        <v>9271.93</v>
      </c>
      <c r="V33">
        <v>0</v>
      </c>
      <c r="W33">
        <v>0</v>
      </c>
      <c r="X33">
        <v>0</v>
      </c>
      <c r="Y33">
        <v>276.27</v>
      </c>
    </row>
    <row r="34" spans="1:33" ht="12.75" hidden="1" customHeight="1" x14ac:dyDescent="0.2">
      <c r="A34" s="68"/>
      <c r="B34" s="68"/>
      <c r="C34" s="68"/>
      <c r="D34" s="68"/>
      <c r="E34" s="68"/>
      <c r="F34" s="68"/>
      <c r="G34" s="68"/>
      <c r="H34" s="68"/>
      <c r="I34" s="68"/>
    </row>
    <row r="35" spans="1:33" ht="114" x14ac:dyDescent="0.2">
      <c r="A35" s="61">
        <v>3</v>
      </c>
      <c r="B35" s="61" t="s">
        <v>29</v>
      </c>
      <c r="C35" s="62" t="s">
        <v>17</v>
      </c>
      <c r="D35" s="63">
        <v>9</v>
      </c>
      <c r="E35" s="64">
        <v>446.80069484664642</v>
      </c>
      <c r="F35" s="65">
        <v>1.0701200015316212</v>
      </c>
      <c r="G35" s="64">
        <f>E35*D35</f>
        <v>4021.2062536198177</v>
      </c>
      <c r="H35" s="64">
        <f>F35*D35</f>
        <v>9.6310800137845902</v>
      </c>
      <c r="I35" s="64">
        <f>G35+H35</f>
        <v>4030.8373336336022</v>
      </c>
      <c r="O35">
        <v>102.6</v>
      </c>
      <c r="P35">
        <v>3449.16</v>
      </c>
      <c r="Q35">
        <v>70.540000000000006</v>
      </c>
      <c r="R35">
        <v>2020.22</v>
      </c>
      <c r="S35">
        <v>9.92</v>
      </c>
      <c r="T35">
        <v>348.54</v>
      </c>
      <c r="AG35">
        <v>0</v>
      </c>
    </row>
    <row r="36" spans="1:33" ht="14.25" hidden="1" x14ac:dyDescent="0.2">
      <c r="A36" s="61"/>
      <c r="B36" s="61" t="s">
        <v>154</v>
      </c>
      <c r="C36" s="62"/>
      <c r="D36" s="63"/>
      <c r="E36" s="66">
        <v>14.25</v>
      </c>
      <c r="F36" s="67" t="s">
        <v>3</v>
      </c>
      <c r="G36" s="66">
        <v>128.25</v>
      </c>
      <c r="H36" s="63">
        <v>38.42</v>
      </c>
      <c r="I36" s="66">
        <v>4927.37</v>
      </c>
      <c r="U36">
        <v>128.25</v>
      </c>
    </row>
    <row r="37" spans="1:33" ht="14.25" hidden="1" x14ac:dyDescent="0.2">
      <c r="A37" s="61"/>
      <c r="B37" s="61" t="s">
        <v>164</v>
      </c>
      <c r="C37" s="62"/>
      <c r="D37" s="63"/>
      <c r="E37" s="66">
        <v>2.2000000000000002</v>
      </c>
      <c r="F37" s="67" t="s">
        <v>3</v>
      </c>
      <c r="G37" s="66">
        <v>19.8</v>
      </c>
      <c r="H37" s="63">
        <v>17.170000000000002</v>
      </c>
      <c r="I37" s="66">
        <v>339.97</v>
      </c>
    </row>
    <row r="38" spans="1:33" ht="14.25" hidden="1" x14ac:dyDescent="0.2">
      <c r="A38" s="61"/>
      <c r="B38" s="61" t="s">
        <v>165</v>
      </c>
      <c r="C38" s="62"/>
      <c r="D38" s="63"/>
      <c r="E38" s="66">
        <v>0.63</v>
      </c>
      <c r="F38" s="67" t="s">
        <v>3</v>
      </c>
      <c r="G38" s="72">
        <v>5.67</v>
      </c>
      <c r="H38" s="63">
        <v>38.42</v>
      </c>
      <c r="I38" s="72">
        <v>217.84</v>
      </c>
      <c r="U38">
        <v>5.67</v>
      </c>
    </row>
    <row r="39" spans="1:33" ht="14.25" hidden="1" x14ac:dyDescent="0.2">
      <c r="A39" s="61"/>
      <c r="B39" s="61" t="s">
        <v>155</v>
      </c>
      <c r="C39" s="62"/>
      <c r="D39" s="63"/>
      <c r="E39" s="66">
        <v>0.05</v>
      </c>
      <c r="F39" s="67" t="s">
        <v>3</v>
      </c>
      <c r="G39" s="66">
        <v>0.45</v>
      </c>
      <c r="H39" s="63">
        <v>59</v>
      </c>
      <c r="I39" s="66">
        <v>26.55</v>
      </c>
    </row>
    <row r="40" spans="1:33" ht="14.25" hidden="1" x14ac:dyDescent="0.2">
      <c r="A40" s="61"/>
      <c r="B40" s="61" t="s">
        <v>156</v>
      </c>
      <c r="C40" s="62" t="s">
        <v>157</v>
      </c>
      <c r="D40" s="63">
        <v>80</v>
      </c>
      <c r="E40" s="66"/>
      <c r="F40" s="67"/>
      <c r="G40" s="66">
        <v>102.6</v>
      </c>
      <c r="H40" s="63">
        <v>70</v>
      </c>
      <c r="I40" s="66">
        <v>3449.16</v>
      </c>
    </row>
    <row r="41" spans="1:33" ht="14.25" hidden="1" x14ac:dyDescent="0.2">
      <c r="A41" s="61"/>
      <c r="B41" s="61" t="s">
        <v>158</v>
      </c>
      <c r="C41" s="62" t="s">
        <v>157</v>
      </c>
      <c r="D41" s="63">
        <v>55</v>
      </c>
      <c r="E41" s="66"/>
      <c r="F41" s="67"/>
      <c r="G41" s="66">
        <v>70.540000000000006</v>
      </c>
      <c r="H41" s="63">
        <v>41</v>
      </c>
      <c r="I41" s="66">
        <v>2020.22</v>
      </c>
    </row>
    <row r="42" spans="1:33" ht="14.25" hidden="1" x14ac:dyDescent="0.2">
      <c r="A42" s="61"/>
      <c r="B42" s="61" t="s">
        <v>166</v>
      </c>
      <c r="C42" s="62" t="s">
        <v>157</v>
      </c>
      <c r="D42" s="63">
        <v>175</v>
      </c>
      <c r="E42" s="66"/>
      <c r="F42" s="67"/>
      <c r="G42" s="66">
        <v>9.92</v>
      </c>
      <c r="H42" s="63">
        <v>160</v>
      </c>
      <c r="I42" s="66">
        <v>348.54</v>
      </c>
    </row>
    <row r="43" spans="1:33" ht="14.25" hidden="1" x14ac:dyDescent="0.2">
      <c r="A43" s="61"/>
      <c r="B43" s="61" t="s">
        <v>159</v>
      </c>
      <c r="C43" s="62" t="s">
        <v>160</v>
      </c>
      <c r="D43" s="63">
        <v>0.98</v>
      </c>
      <c r="E43" s="66"/>
      <c r="F43" s="67" t="s">
        <v>3</v>
      </c>
      <c r="G43" s="66">
        <v>8.82</v>
      </c>
      <c r="H43" s="63"/>
      <c r="I43" s="66"/>
      <c r="Z43" s="43">
        <v>8.82</v>
      </c>
    </row>
    <row r="44" spans="1:33" ht="15" hidden="1" x14ac:dyDescent="0.25">
      <c r="A44" s="68"/>
      <c r="B44" s="69" t="s">
        <v>161</v>
      </c>
      <c r="C44" s="68"/>
      <c r="D44" s="68"/>
      <c r="E44" s="68"/>
      <c r="F44" s="68"/>
      <c r="G44" s="70"/>
      <c r="H44" s="71">
        <v>11111.81</v>
      </c>
      <c r="I44" s="71"/>
    </row>
    <row r="45" spans="1:33" ht="15" hidden="1" x14ac:dyDescent="0.25">
      <c r="A45" s="68"/>
      <c r="B45" s="69" t="s">
        <v>162</v>
      </c>
      <c r="C45" s="68"/>
      <c r="D45" s="68"/>
      <c r="E45" s="68"/>
      <c r="F45" s="68"/>
      <c r="G45" s="70"/>
      <c r="H45" s="71">
        <v>0</v>
      </c>
      <c r="I45" s="71"/>
    </row>
    <row r="46" spans="1:33" ht="15" hidden="1" x14ac:dyDescent="0.25">
      <c r="A46" s="68"/>
      <c r="B46" s="69" t="s">
        <v>163</v>
      </c>
      <c r="C46" s="68"/>
      <c r="D46" s="68"/>
      <c r="E46" s="68"/>
      <c r="F46" s="68"/>
      <c r="G46" s="70"/>
      <c r="H46" s="71">
        <v>11111.81</v>
      </c>
      <c r="I46" s="71"/>
      <c r="M46" s="43">
        <v>331.56</v>
      </c>
      <c r="N46" s="43">
        <v>11111.81</v>
      </c>
      <c r="V46">
        <v>0</v>
      </c>
      <c r="W46">
        <v>0</v>
      </c>
      <c r="X46">
        <v>0</v>
      </c>
      <c r="Y46">
        <v>331.56</v>
      </c>
    </row>
    <row r="47" spans="1:33" hidden="1" x14ac:dyDescent="0.2">
      <c r="A47" s="68"/>
      <c r="B47" s="68"/>
      <c r="C47" s="68"/>
      <c r="D47" s="68"/>
      <c r="E47" s="68"/>
      <c r="F47" s="68"/>
      <c r="G47" s="68"/>
      <c r="H47" s="68"/>
      <c r="I47" s="68"/>
    </row>
    <row r="48" spans="1:33" hidden="1" x14ac:dyDescent="0.2">
      <c r="A48" s="68"/>
      <c r="B48" s="68"/>
      <c r="C48" s="68"/>
      <c r="D48" s="68"/>
      <c r="E48" s="68"/>
      <c r="F48" s="68"/>
      <c r="G48" s="68"/>
      <c r="H48" s="68"/>
      <c r="I48" s="68"/>
    </row>
    <row r="49" spans="1:41" ht="30" hidden="1" customHeight="1" x14ac:dyDescent="0.25">
      <c r="A49" s="73" t="s">
        <v>174</v>
      </c>
      <c r="B49" s="73"/>
      <c r="C49" s="73"/>
      <c r="D49" s="73"/>
      <c r="E49" s="73"/>
      <c r="F49" s="73"/>
      <c r="G49" s="70"/>
      <c r="H49" s="71">
        <v>153823.87</v>
      </c>
      <c r="I49" s="71"/>
      <c r="AO49" s="54" t="s">
        <v>174</v>
      </c>
    </row>
    <row r="50" spans="1:41" ht="12.75" hidden="1" customHeight="1" x14ac:dyDescent="0.2">
      <c r="A50" s="68" t="s">
        <v>167</v>
      </c>
      <c r="B50" s="68"/>
      <c r="C50" s="68"/>
      <c r="D50" s="68"/>
      <c r="E50" s="68"/>
      <c r="F50" s="68"/>
      <c r="G50" s="68"/>
      <c r="H50" s="68">
        <v>0</v>
      </c>
      <c r="I50" s="68"/>
    </row>
    <row r="51" spans="1:41" ht="12.75" hidden="1" customHeight="1" x14ac:dyDescent="0.2">
      <c r="A51" s="68" t="s">
        <v>168</v>
      </c>
      <c r="B51" s="68"/>
      <c r="C51" s="68"/>
      <c r="D51" s="68"/>
      <c r="E51" s="68"/>
      <c r="F51" s="68"/>
      <c r="G51" s="68"/>
      <c r="H51" s="68">
        <v>0</v>
      </c>
      <c r="I51" s="68"/>
    </row>
    <row r="52" spans="1:41" ht="14.25" hidden="1" x14ac:dyDescent="0.2">
      <c r="A52" s="68"/>
      <c r="B52" s="74" t="s">
        <v>88</v>
      </c>
      <c r="C52" s="74"/>
      <c r="D52" s="74"/>
      <c r="E52" s="74"/>
      <c r="F52" s="74"/>
      <c r="G52" s="74"/>
      <c r="H52" s="75">
        <v>153823.87</v>
      </c>
      <c r="I52" s="75"/>
    </row>
    <row r="53" spans="1:41" ht="14.25" customHeight="1" x14ac:dyDescent="0.2">
      <c r="A53" s="68"/>
      <c r="B53" s="74" t="s">
        <v>92</v>
      </c>
      <c r="C53" s="74"/>
      <c r="D53" s="74"/>
      <c r="E53" s="74"/>
      <c r="F53" s="74"/>
      <c r="G53" s="74"/>
      <c r="H53" s="75">
        <f>SUM(I12,I22,I35)</f>
        <v>55800.000000000102</v>
      </c>
      <c r="I53" s="75"/>
    </row>
    <row r="54" spans="1:41" ht="14.25" customHeight="1" x14ac:dyDescent="0.2">
      <c r="A54" s="68"/>
      <c r="B54" s="74" t="s">
        <v>90</v>
      </c>
      <c r="C54" s="74"/>
      <c r="D54" s="74"/>
      <c r="E54" s="74"/>
      <c r="F54" s="74"/>
      <c r="G54" s="74"/>
      <c r="H54" s="75">
        <f>H53/9</f>
        <v>6200.0000000000109</v>
      </c>
      <c r="I54" s="75"/>
    </row>
    <row r="55" spans="1:41" ht="14.25" customHeight="1" x14ac:dyDescent="0.2">
      <c r="A55" s="68"/>
      <c r="B55" s="74" t="s">
        <v>176</v>
      </c>
      <c r="C55" s="74"/>
      <c r="D55" s="74"/>
      <c r="E55" s="74"/>
      <c r="F55" s="74"/>
      <c r="G55" s="74"/>
      <c r="H55" s="75">
        <f>H53*5</f>
        <v>279000.00000000052</v>
      </c>
      <c r="I55" s="75"/>
    </row>
    <row r="58" spans="1:41" ht="14.25" x14ac:dyDescent="0.2">
      <c r="A58" s="59" t="s">
        <v>170</v>
      </c>
      <c r="B58" s="58" t="s">
        <v>175</v>
      </c>
      <c r="C58" s="58"/>
      <c r="D58" s="58"/>
      <c r="E58" s="58"/>
      <c r="F58" s="58"/>
      <c r="G58" s="14"/>
      <c r="H58" s="14"/>
      <c r="I58" s="14"/>
    </row>
    <row r="59" spans="1:41" ht="14.25" x14ac:dyDescent="0.2">
      <c r="A59" s="11"/>
      <c r="B59" s="22" t="s">
        <v>171</v>
      </c>
      <c r="C59" s="22"/>
      <c r="D59" s="22"/>
      <c r="E59" s="22"/>
      <c r="F59" s="22"/>
      <c r="G59" s="11"/>
      <c r="H59" s="11"/>
      <c r="I59" s="11"/>
    </row>
    <row r="60" spans="1:41" ht="14.25" x14ac:dyDescent="0.2">
      <c r="A60" s="11"/>
      <c r="B60" s="11"/>
      <c r="C60" s="11"/>
      <c r="D60" s="11"/>
      <c r="E60" s="11"/>
      <c r="F60" s="11"/>
      <c r="G60" s="11"/>
      <c r="H60" s="11"/>
      <c r="I60" s="11"/>
    </row>
    <row r="61" spans="1:41" ht="14.25" x14ac:dyDescent="0.2">
      <c r="A61" s="59" t="s">
        <v>172</v>
      </c>
      <c r="B61" s="58" t="s">
        <v>175</v>
      </c>
      <c r="C61" s="58"/>
      <c r="D61" s="58"/>
      <c r="E61" s="58"/>
      <c r="F61" s="58"/>
      <c r="G61" s="14"/>
      <c r="H61" s="14"/>
      <c r="I61" s="14"/>
    </row>
    <row r="62" spans="1:41" ht="14.25" x14ac:dyDescent="0.2">
      <c r="A62" s="11"/>
      <c r="B62" s="22" t="s">
        <v>171</v>
      </c>
      <c r="C62" s="22"/>
      <c r="D62" s="22"/>
      <c r="E62" s="22"/>
      <c r="F62" s="22"/>
      <c r="G62" s="11"/>
      <c r="H62" s="11"/>
      <c r="I62" s="11"/>
    </row>
  </sheetData>
  <mergeCells count="28">
    <mergeCell ref="B59:F59"/>
    <mergeCell ref="G61:I61"/>
    <mergeCell ref="B62:F62"/>
    <mergeCell ref="B53:G53"/>
    <mergeCell ref="H53:I53"/>
    <mergeCell ref="B55:G55"/>
    <mergeCell ref="H55:I55"/>
    <mergeCell ref="G58:I58"/>
    <mergeCell ref="A49:F49"/>
    <mergeCell ref="H49:I49"/>
    <mergeCell ref="B52:G52"/>
    <mergeCell ref="H52:I52"/>
    <mergeCell ref="B54:G54"/>
    <mergeCell ref="H54:I54"/>
    <mergeCell ref="H44:I44"/>
    <mergeCell ref="H45:I45"/>
    <mergeCell ref="H46:I46"/>
    <mergeCell ref="H31:I31"/>
    <mergeCell ref="H32:I32"/>
    <mergeCell ref="H33:I33"/>
    <mergeCell ref="H18:I18"/>
    <mergeCell ref="H19:I19"/>
    <mergeCell ref="H20:I20"/>
    <mergeCell ref="A8:I8"/>
    <mergeCell ref="A2:I2"/>
    <mergeCell ref="A3:I3"/>
    <mergeCell ref="A5:I5"/>
    <mergeCell ref="A7:I7"/>
  </mergeCells>
  <pageMargins left="0.4" right="0.2" top="0.2" bottom="0.4" header="0.2" footer="0.2"/>
  <pageSetup paperSize="9" scale="76" fitToHeight="0" orientation="portrait" r:id="rId1"/>
  <headerFooter>
    <oddHeader>&amp;L&amp;8</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103"/>
  <sheetViews>
    <sheetView workbookViewId="0">
      <selection activeCell="A99" sqref="A99:AX99"/>
    </sheetView>
  </sheetViews>
  <sheetFormatPr defaultColWidth="9.140625" defaultRowHeight="12.75" x14ac:dyDescent="0.2"/>
  <cols>
    <col min="1" max="256" width="9.140625" customWidth="1"/>
  </cols>
  <sheetData>
    <row r="1" spans="1:133" x14ac:dyDescent="0.2">
      <c r="A1">
        <v>0</v>
      </c>
      <c r="B1" t="s">
        <v>0</v>
      </c>
      <c r="D1" t="s">
        <v>1</v>
      </c>
      <c r="F1">
        <v>0</v>
      </c>
      <c r="G1">
        <v>0</v>
      </c>
      <c r="H1">
        <v>0</v>
      </c>
      <c r="I1" t="s">
        <v>2</v>
      </c>
      <c r="J1" t="s">
        <v>3</v>
      </c>
      <c r="K1">
        <v>1</v>
      </c>
      <c r="L1">
        <v>66899</v>
      </c>
      <c r="M1">
        <v>10</v>
      </c>
      <c r="N1">
        <v>11</v>
      </c>
      <c r="O1">
        <v>11</v>
      </c>
      <c r="P1">
        <v>0</v>
      </c>
      <c r="Q1">
        <v>0</v>
      </c>
    </row>
    <row r="12" spans="1:133" x14ac:dyDescent="0.2">
      <c r="A12" s="1">
        <v>1</v>
      </c>
      <c r="B12" s="1">
        <v>98</v>
      </c>
      <c r="C12" s="1">
        <v>0</v>
      </c>
      <c r="D12" s="1">
        <f>ROW(A62)</f>
        <v>62</v>
      </c>
      <c r="E12" s="1">
        <v>0</v>
      </c>
      <c r="F12" s="1" t="s">
        <v>4</v>
      </c>
      <c r="G12" s="1" t="s">
        <v>5</v>
      </c>
      <c r="H12" s="1" t="s">
        <v>3</v>
      </c>
      <c r="I12" s="1">
        <v>0</v>
      </c>
      <c r="J12" s="1" t="s">
        <v>3</v>
      </c>
      <c r="K12" s="1">
        <v>0</v>
      </c>
      <c r="L12" s="1">
        <v>0</v>
      </c>
      <c r="M12" s="1">
        <v>4098</v>
      </c>
      <c r="N12" s="1"/>
      <c r="O12" s="1">
        <v>0</v>
      </c>
      <c r="P12" s="1">
        <v>0</v>
      </c>
      <c r="Q12" s="1">
        <v>0</v>
      </c>
      <c r="R12" s="1">
        <v>160</v>
      </c>
      <c r="S12" s="1"/>
      <c r="T12" s="1">
        <v>1</v>
      </c>
      <c r="U12" s="1" t="s">
        <v>3</v>
      </c>
      <c r="V12" s="1">
        <v>0</v>
      </c>
      <c r="W12" s="1" t="s">
        <v>3</v>
      </c>
      <c r="X12" s="1" t="s">
        <v>3</v>
      </c>
      <c r="Y12" s="1" t="s">
        <v>3</v>
      </c>
      <c r="Z12" s="1" t="s">
        <v>3</v>
      </c>
      <c r="AA12" s="1" t="s">
        <v>3</v>
      </c>
      <c r="AB12" s="1" t="s">
        <v>3</v>
      </c>
      <c r="AC12" s="1" t="s">
        <v>3</v>
      </c>
      <c r="AD12" s="1" t="s">
        <v>3</v>
      </c>
      <c r="AE12" s="1" t="s">
        <v>3</v>
      </c>
      <c r="AF12" s="1" t="s">
        <v>3</v>
      </c>
      <c r="AG12" s="1" t="s">
        <v>3</v>
      </c>
      <c r="AH12" s="1" t="s">
        <v>3</v>
      </c>
      <c r="AI12" s="1" t="s">
        <v>3</v>
      </c>
      <c r="AJ12" s="1" t="s">
        <v>3</v>
      </c>
      <c r="AK12" s="1"/>
      <c r="AL12" s="1" t="s">
        <v>3</v>
      </c>
      <c r="AM12" s="1" t="s">
        <v>3</v>
      </c>
      <c r="AN12" s="1" t="s">
        <v>3</v>
      </c>
      <c r="AO12" s="1"/>
      <c r="AP12" s="1" t="s">
        <v>3</v>
      </c>
      <c r="AQ12" s="1" t="s">
        <v>3</v>
      </c>
      <c r="AR12" s="1" t="s">
        <v>3</v>
      </c>
      <c r="AS12" s="1"/>
      <c r="AT12" s="1"/>
      <c r="AU12" s="1"/>
      <c r="AV12" s="1"/>
      <c r="AW12" s="1"/>
      <c r="AX12" s="1" t="s">
        <v>3</v>
      </c>
      <c r="AY12" s="1" t="s">
        <v>3</v>
      </c>
      <c r="AZ12" s="1" t="s">
        <v>3</v>
      </c>
      <c r="BA12" s="1"/>
      <c r="BB12" s="1">
        <v>0</v>
      </c>
      <c r="BC12" s="1"/>
      <c r="BD12" s="1"/>
      <c r="BE12" s="1"/>
      <c r="BF12" s="1"/>
      <c r="BG12" s="1"/>
      <c r="BH12" s="1" t="s">
        <v>6</v>
      </c>
      <c r="BI12" s="1" t="s">
        <v>7</v>
      </c>
      <c r="BJ12" s="1">
        <v>1</v>
      </c>
      <c r="BK12" s="1">
        <v>1</v>
      </c>
      <c r="BL12" s="1">
        <v>0</v>
      </c>
      <c r="BM12" s="1">
        <v>0</v>
      </c>
      <c r="BN12" s="1">
        <v>1</v>
      </c>
      <c r="BO12" s="1">
        <v>0</v>
      </c>
      <c r="BP12" s="1">
        <v>6</v>
      </c>
      <c r="BQ12" s="1">
        <v>2</v>
      </c>
      <c r="BR12" s="1">
        <v>1</v>
      </c>
      <c r="BS12" s="1">
        <v>1</v>
      </c>
      <c r="BT12" s="1">
        <v>0</v>
      </c>
      <c r="BU12" s="1">
        <v>0</v>
      </c>
      <c r="BV12" s="1">
        <v>1</v>
      </c>
      <c r="BW12" s="1">
        <v>0</v>
      </c>
      <c r="BX12" s="1">
        <v>0</v>
      </c>
      <c r="BY12" s="1" t="s">
        <v>8</v>
      </c>
      <c r="BZ12" s="1" t="s">
        <v>9</v>
      </c>
      <c r="CA12" s="1" t="s">
        <v>10</v>
      </c>
      <c r="CB12" s="1" t="s">
        <v>10</v>
      </c>
      <c r="CC12" s="1" t="s">
        <v>10</v>
      </c>
      <c r="CD12" s="1" t="s">
        <v>10</v>
      </c>
      <c r="CE12" s="1" t="s">
        <v>11</v>
      </c>
      <c r="CF12" s="1">
        <v>0</v>
      </c>
      <c r="CG12" s="1">
        <v>0</v>
      </c>
      <c r="CH12" s="1">
        <v>8200</v>
      </c>
      <c r="CI12" s="1" t="s">
        <v>3</v>
      </c>
      <c r="CJ12" s="1" t="s">
        <v>3</v>
      </c>
      <c r="CK12" s="1">
        <v>74</v>
      </c>
      <c r="CL12" s="1"/>
      <c r="CM12" s="1"/>
      <c r="CN12" s="1"/>
      <c r="CO12" s="1"/>
      <c r="CP12" s="1"/>
      <c r="CQ12" s="1" t="s">
        <v>12</v>
      </c>
      <c r="CR12" s="1" t="s">
        <v>13</v>
      </c>
      <c r="CS12" s="1">
        <v>41660</v>
      </c>
      <c r="CT12" s="1">
        <v>1</v>
      </c>
      <c r="CU12" s="1">
        <v>74</v>
      </c>
      <c r="CV12" s="1"/>
      <c r="CW12" s="1"/>
      <c r="CX12" s="1"/>
      <c r="CY12" s="1">
        <v>0</v>
      </c>
      <c r="CZ12" s="1" t="s">
        <v>3</v>
      </c>
      <c r="DA12" s="1" t="s">
        <v>3</v>
      </c>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v>0</v>
      </c>
    </row>
    <row r="15" spans="1:133" x14ac:dyDescent="0.2">
      <c r="A15" s="1">
        <v>15</v>
      </c>
      <c r="B15" s="1">
        <v>1</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row>
    <row r="18" spans="1:245" x14ac:dyDescent="0.2">
      <c r="A18" s="2">
        <v>52</v>
      </c>
      <c r="B18" s="2">
        <f t="shared" ref="B18:G18" si="0">B62</f>
        <v>98</v>
      </c>
      <c r="C18" s="2">
        <f t="shared" si="0"/>
        <v>1</v>
      </c>
      <c r="D18" s="2">
        <f t="shared" si="0"/>
        <v>12</v>
      </c>
      <c r="E18" s="2">
        <f t="shared" si="0"/>
        <v>0</v>
      </c>
      <c r="F18" s="2" t="str">
        <f t="shared" si="0"/>
        <v>Новый объект</v>
      </c>
      <c r="G18" s="2" t="str">
        <f t="shared" si="0"/>
        <v>№272-26.12.24 Р ТСН Смета на обслуживание шлагбаумов (Вячеслав Козлов)</v>
      </c>
      <c r="H18" s="2"/>
      <c r="I18" s="2"/>
      <c r="J18" s="2"/>
      <c r="K18" s="2"/>
      <c r="L18" s="2"/>
      <c r="M18" s="2"/>
      <c r="N18" s="2"/>
      <c r="O18" s="2">
        <f t="shared" ref="O18:AT18" si="1">O62</f>
        <v>73207.64</v>
      </c>
      <c r="P18" s="2">
        <f t="shared" si="1"/>
        <v>531.67999999999995</v>
      </c>
      <c r="Q18" s="2">
        <f t="shared" si="1"/>
        <v>611.94000000000005</v>
      </c>
      <c r="R18" s="2">
        <f t="shared" si="1"/>
        <v>390.73</v>
      </c>
      <c r="S18" s="2">
        <f t="shared" si="1"/>
        <v>72064.02</v>
      </c>
      <c r="T18" s="2">
        <f t="shared" si="1"/>
        <v>0</v>
      </c>
      <c r="U18" s="2">
        <f t="shared" si="1"/>
        <v>146.16</v>
      </c>
      <c r="V18" s="2">
        <f t="shared" si="1"/>
        <v>0</v>
      </c>
      <c r="W18" s="2">
        <f t="shared" si="1"/>
        <v>0</v>
      </c>
      <c r="X18" s="2">
        <f t="shared" si="1"/>
        <v>50444.82</v>
      </c>
      <c r="Y18" s="2">
        <f t="shared" si="1"/>
        <v>29546.25</v>
      </c>
      <c r="Z18" s="2">
        <f t="shared" si="1"/>
        <v>0</v>
      </c>
      <c r="AA18" s="2">
        <f t="shared" si="1"/>
        <v>0</v>
      </c>
      <c r="AB18" s="2">
        <f t="shared" si="1"/>
        <v>0</v>
      </c>
      <c r="AC18" s="2">
        <f t="shared" si="1"/>
        <v>0</v>
      </c>
      <c r="AD18" s="2">
        <f t="shared" si="1"/>
        <v>0</v>
      </c>
      <c r="AE18" s="2">
        <f t="shared" si="1"/>
        <v>0</v>
      </c>
      <c r="AF18" s="2">
        <f t="shared" si="1"/>
        <v>0</v>
      </c>
      <c r="AG18" s="2">
        <f t="shared" si="1"/>
        <v>0</v>
      </c>
      <c r="AH18" s="2">
        <f t="shared" si="1"/>
        <v>0</v>
      </c>
      <c r="AI18" s="2">
        <f t="shared" si="1"/>
        <v>0</v>
      </c>
      <c r="AJ18" s="2">
        <f t="shared" si="1"/>
        <v>0</v>
      </c>
      <c r="AK18" s="2">
        <f t="shared" si="1"/>
        <v>0</v>
      </c>
      <c r="AL18" s="2">
        <f t="shared" si="1"/>
        <v>0</v>
      </c>
      <c r="AM18" s="2">
        <f t="shared" si="1"/>
        <v>0</v>
      </c>
      <c r="AN18" s="2">
        <f t="shared" si="1"/>
        <v>0</v>
      </c>
      <c r="AO18" s="2">
        <f t="shared" si="1"/>
        <v>0</v>
      </c>
      <c r="AP18" s="2">
        <f t="shared" si="1"/>
        <v>0</v>
      </c>
      <c r="AQ18" s="2">
        <f t="shared" si="1"/>
        <v>0</v>
      </c>
      <c r="AR18" s="2">
        <f t="shared" si="1"/>
        <v>153823.87</v>
      </c>
      <c r="AS18" s="2">
        <f t="shared" si="1"/>
        <v>0</v>
      </c>
      <c r="AT18" s="2">
        <f t="shared" si="1"/>
        <v>0</v>
      </c>
      <c r="AU18" s="2">
        <f t="shared" ref="AU18:BZ18" si="2">AU62</f>
        <v>153823.87</v>
      </c>
      <c r="AV18" s="2">
        <f t="shared" si="2"/>
        <v>531.67999999999995</v>
      </c>
      <c r="AW18" s="2">
        <f t="shared" si="2"/>
        <v>531.67999999999995</v>
      </c>
      <c r="AX18" s="2">
        <f t="shared" si="2"/>
        <v>0</v>
      </c>
      <c r="AY18" s="2">
        <f t="shared" si="2"/>
        <v>531.67999999999995</v>
      </c>
      <c r="AZ18" s="2">
        <f t="shared" si="2"/>
        <v>0</v>
      </c>
      <c r="BA18" s="2">
        <f t="shared" si="2"/>
        <v>0</v>
      </c>
      <c r="BB18" s="2">
        <f t="shared" si="2"/>
        <v>0</v>
      </c>
      <c r="BC18" s="2">
        <f t="shared" si="2"/>
        <v>0</v>
      </c>
      <c r="BD18" s="2">
        <f t="shared" si="2"/>
        <v>0</v>
      </c>
      <c r="BE18" s="2">
        <f t="shared" si="2"/>
        <v>0</v>
      </c>
      <c r="BF18" s="2">
        <f t="shared" si="2"/>
        <v>0</v>
      </c>
      <c r="BG18" s="2">
        <f t="shared" si="2"/>
        <v>0</v>
      </c>
      <c r="BH18" s="2">
        <f t="shared" si="2"/>
        <v>0</v>
      </c>
      <c r="BI18" s="2">
        <f t="shared" si="2"/>
        <v>0</v>
      </c>
      <c r="BJ18" s="2">
        <f t="shared" si="2"/>
        <v>0</v>
      </c>
      <c r="BK18" s="2">
        <f t="shared" si="2"/>
        <v>0</v>
      </c>
      <c r="BL18" s="2">
        <f t="shared" si="2"/>
        <v>0</v>
      </c>
      <c r="BM18" s="2">
        <f t="shared" si="2"/>
        <v>0</v>
      </c>
      <c r="BN18" s="2">
        <f t="shared" si="2"/>
        <v>0</v>
      </c>
      <c r="BO18" s="2">
        <f t="shared" si="2"/>
        <v>0</v>
      </c>
      <c r="BP18" s="2">
        <f t="shared" si="2"/>
        <v>0</v>
      </c>
      <c r="BQ18" s="2">
        <f t="shared" si="2"/>
        <v>0</v>
      </c>
      <c r="BR18" s="2">
        <f t="shared" si="2"/>
        <v>0</v>
      </c>
      <c r="BS18" s="2">
        <f t="shared" si="2"/>
        <v>0</v>
      </c>
      <c r="BT18" s="2">
        <f t="shared" si="2"/>
        <v>0</v>
      </c>
      <c r="BU18" s="2">
        <f t="shared" si="2"/>
        <v>0</v>
      </c>
      <c r="BV18" s="2">
        <f t="shared" si="2"/>
        <v>0</v>
      </c>
      <c r="BW18" s="2">
        <f t="shared" si="2"/>
        <v>0</v>
      </c>
      <c r="BX18" s="2">
        <f t="shared" si="2"/>
        <v>0</v>
      </c>
      <c r="BY18" s="2">
        <f t="shared" si="2"/>
        <v>0</v>
      </c>
      <c r="BZ18" s="2">
        <f t="shared" si="2"/>
        <v>0</v>
      </c>
      <c r="CA18" s="2">
        <f t="shared" ref="CA18:DF18" si="3">CA62</f>
        <v>0</v>
      </c>
      <c r="CB18" s="2">
        <f t="shared" si="3"/>
        <v>0</v>
      </c>
      <c r="CC18" s="2">
        <f t="shared" si="3"/>
        <v>0</v>
      </c>
      <c r="CD18" s="2">
        <f t="shared" si="3"/>
        <v>0</v>
      </c>
      <c r="CE18" s="2">
        <f t="shared" si="3"/>
        <v>0</v>
      </c>
      <c r="CF18" s="2">
        <f t="shared" si="3"/>
        <v>0</v>
      </c>
      <c r="CG18" s="2">
        <f t="shared" si="3"/>
        <v>0</v>
      </c>
      <c r="CH18" s="2">
        <f t="shared" si="3"/>
        <v>0</v>
      </c>
      <c r="CI18" s="2">
        <f t="shared" si="3"/>
        <v>0</v>
      </c>
      <c r="CJ18" s="2">
        <f t="shared" si="3"/>
        <v>0</v>
      </c>
      <c r="CK18" s="2">
        <f t="shared" si="3"/>
        <v>0</v>
      </c>
      <c r="CL18" s="2">
        <f t="shared" si="3"/>
        <v>0</v>
      </c>
      <c r="CM18" s="2">
        <f t="shared" si="3"/>
        <v>0</v>
      </c>
      <c r="CN18" s="2">
        <f t="shared" si="3"/>
        <v>0</v>
      </c>
      <c r="CO18" s="2">
        <f t="shared" si="3"/>
        <v>0</v>
      </c>
      <c r="CP18" s="2">
        <f t="shared" si="3"/>
        <v>0</v>
      </c>
      <c r="CQ18" s="2">
        <f t="shared" si="3"/>
        <v>0</v>
      </c>
      <c r="CR18" s="2">
        <f t="shared" si="3"/>
        <v>0</v>
      </c>
      <c r="CS18" s="2">
        <f t="shared" si="3"/>
        <v>0</v>
      </c>
      <c r="CT18" s="2">
        <f t="shared" si="3"/>
        <v>0</v>
      </c>
      <c r="CU18" s="2">
        <f t="shared" si="3"/>
        <v>0</v>
      </c>
      <c r="CV18" s="2">
        <f t="shared" si="3"/>
        <v>0</v>
      </c>
      <c r="CW18" s="2">
        <f t="shared" si="3"/>
        <v>0</v>
      </c>
      <c r="CX18" s="2">
        <f t="shared" si="3"/>
        <v>0</v>
      </c>
      <c r="CY18" s="2">
        <f t="shared" si="3"/>
        <v>0</v>
      </c>
      <c r="CZ18" s="2">
        <f t="shared" si="3"/>
        <v>0</v>
      </c>
      <c r="DA18" s="2">
        <f t="shared" si="3"/>
        <v>0</v>
      </c>
      <c r="DB18" s="2">
        <f t="shared" si="3"/>
        <v>0</v>
      </c>
      <c r="DC18" s="2">
        <f t="shared" si="3"/>
        <v>0</v>
      </c>
      <c r="DD18" s="2">
        <f t="shared" si="3"/>
        <v>0</v>
      </c>
      <c r="DE18" s="2">
        <f t="shared" si="3"/>
        <v>0</v>
      </c>
      <c r="DF18" s="2">
        <f t="shared" si="3"/>
        <v>0</v>
      </c>
      <c r="DG18" s="3">
        <f t="shared" ref="DG18:EL18" si="4">DG62</f>
        <v>0</v>
      </c>
      <c r="DH18" s="3">
        <f t="shared" si="4"/>
        <v>0</v>
      </c>
      <c r="DI18" s="3">
        <f t="shared" si="4"/>
        <v>0</v>
      </c>
      <c r="DJ18" s="3">
        <f t="shared" si="4"/>
        <v>0</v>
      </c>
      <c r="DK18" s="3">
        <f t="shared" si="4"/>
        <v>0</v>
      </c>
      <c r="DL18" s="3">
        <f t="shared" si="4"/>
        <v>0</v>
      </c>
      <c r="DM18" s="3">
        <f t="shared" si="4"/>
        <v>0</v>
      </c>
      <c r="DN18" s="3">
        <f t="shared" si="4"/>
        <v>0</v>
      </c>
      <c r="DO18" s="3">
        <f t="shared" si="4"/>
        <v>0</v>
      </c>
      <c r="DP18" s="3">
        <f t="shared" si="4"/>
        <v>0</v>
      </c>
      <c r="DQ18" s="3">
        <f t="shared" si="4"/>
        <v>0</v>
      </c>
      <c r="DR18" s="3">
        <f t="shared" si="4"/>
        <v>0</v>
      </c>
      <c r="DS18" s="3">
        <f t="shared" si="4"/>
        <v>0</v>
      </c>
      <c r="DT18" s="3">
        <f t="shared" si="4"/>
        <v>0</v>
      </c>
      <c r="DU18" s="3">
        <f t="shared" si="4"/>
        <v>0</v>
      </c>
      <c r="DV18" s="3">
        <f t="shared" si="4"/>
        <v>0</v>
      </c>
      <c r="DW18" s="3">
        <f t="shared" si="4"/>
        <v>0</v>
      </c>
      <c r="DX18" s="3">
        <f t="shared" si="4"/>
        <v>0</v>
      </c>
      <c r="DY18" s="3">
        <f t="shared" si="4"/>
        <v>0</v>
      </c>
      <c r="DZ18" s="3">
        <f t="shared" si="4"/>
        <v>0</v>
      </c>
      <c r="EA18" s="3">
        <f t="shared" si="4"/>
        <v>0</v>
      </c>
      <c r="EB18" s="3">
        <f t="shared" si="4"/>
        <v>0</v>
      </c>
      <c r="EC18" s="3">
        <f t="shared" si="4"/>
        <v>0</v>
      </c>
      <c r="ED18" s="3">
        <f t="shared" si="4"/>
        <v>0</v>
      </c>
      <c r="EE18" s="3">
        <f t="shared" si="4"/>
        <v>0</v>
      </c>
      <c r="EF18" s="3">
        <f t="shared" si="4"/>
        <v>0</v>
      </c>
      <c r="EG18" s="3">
        <f t="shared" si="4"/>
        <v>0</v>
      </c>
      <c r="EH18" s="3">
        <f t="shared" si="4"/>
        <v>0</v>
      </c>
      <c r="EI18" s="3">
        <f t="shared" si="4"/>
        <v>0</v>
      </c>
      <c r="EJ18" s="3">
        <f t="shared" si="4"/>
        <v>0</v>
      </c>
      <c r="EK18" s="3">
        <f t="shared" si="4"/>
        <v>0</v>
      </c>
      <c r="EL18" s="3">
        <f t="shared" si="4"/>
        <v>0</v>
      </c>
      <c r="EM18" s="3">
        <f t="shared" ref="EM18:FR18" si="5">EM62</f>
        <v>0</v>
      </c>
      <c r="EN18" s="3">
        <f t="shared" si="5"/>
        <v>0</v>
      </c>
      <c r="EO18" s="3">
        <f t="shared" si="5"/>
        <v>0</v>
      </c>
      <c r="EP18" s="3">
        <f t="shared" si="5"/>
        <v>0</v>
      </c>
      <c r="EQ18" s="3">
        <f t="shared" si="5"/>
        <v>0</v>
      </c>
      <c r="ER18" s="3">
        <f t="shared" si="5"/>
        <v>0</v>
      </c>
      <c r="ES18" s="3">
        <f t="shared" si="5"/>
        <v>0</v>
      </c>
      <c r="ET18" s="3">
        <f t="shared" si="5"/>
        <v>0</v>
      </c>
      <c r="EU18" s="3">
        <f t="shared" si="5"/>
        <v>0</v>
      </c>
      <c r="EV18" s="3">
        <f t="shared" si="5"/>
        <v>0</v>
      </c>
      <c r="EW18" s="3">
        <f t="shared" si="5"/>
        <v>0</v>
      </c>
      <c r="EX18" s="3">
        <f t="shared" si="5"/>
        <v>0</v>
      </c>
      <c r="EY18" s="3">
        <f t="shared" si="5"/>
        <v>0</v>
      </c>
      <c r="EZ18" s="3">
        <f t="shared" si="5"/>
        <v>0</v>
      </c>
      <c r="FA18" s="3">
        <f t="shared" si="5"/>
        <v>0</v>
      </c>
      <c r="FB18" s="3">
        <f t="shared" si="5"/>
        <v>0</v>
      </c>
      <c r="FC18" s="3">
        <f t="shared" si="5"/>
        <v>0</v>
      </c>
      <c r="FD18" s="3">
        <f t="shared" si="5"/>
        <v>0</v>
      </c>
      <c r="FE18" s="3">
        <f t="shared" si="5"/>
        <v>0</v>
      </c>
      <c r="FF18" s="3">
        <f t="shared" si="5"/>
        <v>0</v>
      </c>
      <c r="FG18" s="3">
        <f t="shared" si="5"/>
        <v>0</v>
      </c>
      <c r="FH18" s="3">
        <f t="shared" si="5"/>
        <v>0</v>
      </c>
      <c r="FI18" s="3">
        <f t="shared" si="5"/>
        <v>0</v>
      </c>
      <c r="FJ18" s="3">
        <f t="shared" si="5"/>
        <v>0</v>
      </c>
      <c r="FK18" s="3">
        <f t="shared" si="5"/>
        <v>0</v>
      </c>
      <c r="FL18" s="3">
        <f t="shared" si="5"/>
        <v>0</v>
      </c>
      <c r="FM18" s="3">
        <f t="shared" si="5"/>
        <v>0</v>
      </c>
      <c r="FN18" s="3">
        <f t="shared" si="5"/>
        <v>0</v>
      </c>
      <c r="FO18" s="3">
        <f t="shared" si="5"/>
        <v>0</v>
      </c>
      <c r="FP18" s="3">
        <f t="shared" si="5"/>
        <v>0</v>
      </c>
      <c r="FQ18" s="3">
        <f t="shared" si="5"/>
        <v>0</v>
      </c>
      <c r="FR18" s="3">
        <f t="shared" si="5"/>
        <v>0</v>
      </c>
      <c r="FS18" s="3">
        <f t="shared" ref="FS18:GX18" si="6">FS62</f>
        <v>0</v>
      </c>
      <c r="FT18" s="3">
        <f t="shared" si="6"/>
        <v>0</v>
      </c>
      <c r="FU18" s="3">
        <f t="shared" si="6"/>
        <v>0</v>
      </c>
      <c r="FV18" s="3">
        <f t="shared" si="6"/>
        <v>0</v>
      </c>
      <c r="FW18" s="3">
        <f t="shared" si="6"/>
        <v>0</v>
      </c>
      <c r="FX18" s="3">
        <f t="shared" si="6"/>
        <v>0</v>
      </c>
      <c r="FY18" s="3">
        <f t="shared" si="6"/>
        <v>0</v>
      </c>
      <c r="FZ18" s="3">
        <f t="shared" si="6"/>
        <v>0</v>
      </c>
      <c r="GA18" s="3">
        <f t="shared" si="6"/>
        <v>0</v>
      </c>
      <c r="GB18" s="3">
        <f t="shared" si="6"/>
        <v>0</v>
      </c>
      <c r="GC18" s="3">
        <f t="shared" si="6"/>
        <v>0</v>
      </c>
      <c r="GD18" s="3">
        <f t="shared" si="6"/>
        <v>0</v>
      </c>
      <c r="GE18" s="3">
        <f t="shared" si="6"/>
        <v>0</v>
      </c>
      <c r="GF18" s="3">
        <f t="shared" si="6"/>
        <v>0</v>
      </c>
      <c r="GG18" s="3">
        <f t="shared" si="6"/>
        <v>0</v>
      </c>
      <c r="GH18" s="3">
        <f t="shared" si="6"/>
        <v>0</v>
      </c>
      <c r="GI18" s="3">
        <f t="shared" si="6"/>
        <v>0</v>
      </c>
      <c r="GJ18" s="3">
        <f t="shared" si="6"/>
        <v>0</v>
      </c>
      <c r="GK18" s="3">
        <f t="shared" si="6"/>
        <v>0</v>
      </c>
      <c r="GL18" s="3">
        <f t="shared" si="6"/>
        <v>0</v>
      </c>
      <c r="GM18" s="3">
        <f t="shared" si="6"/>
        <v>0</v>
      </c>
      <c r="GN18" s="3">
        <f t="shared" si="6"/>
        <v>0</v>
      </c>
      <c r="GO18" s="3">
        <f t="shared" si="6"/>
        <v>0</v>
      </c>
      <c r="GP18" s="3">
        <f t="shared" si="6"/>
        <v>0</v>
      </c>
      <c r="GQ18" s="3">
        <f t="shared" si="6"/>
        <v>0</v>
      </c>
      <c r="GR18" s="3">
        <f t="shared" si="6"/>
        <v>0</v>
      </c>
      <c r="GS18" s="3">
        <f t="shared" si="6"/>
        <v>0</v>
      </c>
      <c r="GT18" s="3">
        <f t="shared" si="6"/>
        <v>0</v>
      </c>
      <c r="GU18" s="3">
        <f t="shared" si="6"/>
        <v>0</v>
      </c>
      <c r="GV18" s="3">
        <f t="shared" si="6"/>
        <v>0</v>
      </c>
      <c r="GW18" s="3">
        <f t="shared" si="6"/>
        <v>0</v>
      </c>
      <c r="GX18" s="3">
        <f t="shared" si="6"/>
        <v>0</v>
      </c>
    </row>
    <row r="20" spans="1:245" x14ac:dyDescent="0.2">
      <c r="A20" s="1">
        <v>3</v>
      </c>
      <c r="B20" s="1">
        <v>1</v>
      </c>
      <c r="C20" s="1"/>
      <c r="D20" s="1">
        <f>ROW(A28)</f>
        <v>28</v>
      </c>
      <c r="E20" s="1"/>
      <c r="F20" s="1" t="s">
        <v>14</v>
      </c>
      <c r="G20" s="1" t="s">
        <v>5</v>
      </c>
      <c r="H20" s="1" t="s">
        <v>3</v>
      </c>
      <c r="I20" s="1">
        <v>0</v>
      </c>
      <c r="J20" s="1" t="s">
        <v>3</v>
      </c>
      <c r="K20" s="1">
        <v>-1</v>
      </c>
      <c r="L20" s="1" t="s">
        <v>14</v>
      </c>
      <c r="M20" s="1" t="s">
        <v>3</v>
      </c>
      <c r="N20" s="1"/>
      <c r="O20" s="1"/>
      <c r="P20" s="1"/>
      <c r="Q20" s="1"/>
      <c r="R20" s="1"/>
      <c r="S20" s="1">
        <v>0</v>
      </c>
      <c r="T20" s="1"/>
      <c r="U20" s="1" t="s">
        <v>3</v>
      </c>
      <c r="V20" s="1">
        <v>0</v>
      </c>
      <c r="W20" s="1"/>
      <c r="X20" s="1"/>
      <c r="Y20" s="1"/>
      <c r="Z20" s="1"/>
      <c r="AA20" s="1"/>
      <c r="AB20" s="1" t="s">
        <v>3</v>
      </c>
      <c r="AC20" s="1" t="s">
        <v>3</v>
      </c>
      <c r="AD20" s="1" t="s">
        <v>3</v>
      </c>
      <c r="AE20" s="1" t="s">
        <v>3</v>
      </c>
      <c r="AF20" s="1" t="s">
        <v>3</v>
      </c>
      <c r="AG20" s="1" t="s">
        <v>3</v>
      </c>
      <c r="AH20" s="1"/>
      <c r="AI20" s="1"/>
      <c r="AJ20" s="1"/>
      <c r="AK20" s="1"/>
      <c r="AL20" s="1"/>
      <c r="AM20" s="1"/>
      <c r="AN20" s="1"/>
      <c r="AO20" s="1"/>
      <c r="AP20" s="1" t="s">
        <v>3</v>
      </c>
      <c r="AQ20" s="1" t="s">
        <v>3</v>
      </c>
      <c r="AR20" s="1" t="s">
        <v>3</v>
      </c>
      <c r="AS20" s="1"/>
      <c r="AT20" s="1"/>
      <c r="AU20" s="1"/>
      <c r="AV20" s="1"/>
      <c r="AW20" s="1"/>
      <c r="AX20" s="1"/>
      <c r="AY20" s="1"/>
      <c r="AZ20" s="1" t="s">
        <v>3</v>
      </c>
      <c r="BA20" s="1"/>
      <c r="BB20" s="1" t="s">
        <v>3</v>
      </c>
      <c r="BC20" s="1" t="s">
        <v>3</v>
      </c>
      <c r="BD20" s="1" t="s">
        <v>3</v>
      </c>
      <c r="BE20" s="1" t="s">
        <v>3</v>
      </c>
      <c r="BF20" s="1" t="s">
        <v>3</v>
      </c>
      <c r="BG20" s="1" t="s">
        <v>3</v>
      </c>
      <c r="BH20" s="1" t="s">
        <v>3</v>
      </c>
      <c r="BI20" s="1" t="s">
        <v>3</v>
      </c>
      <c r="BJ20" s="1" t="s">
        <v>3</v>
      </c>
      <c r="BK20" s="1" t="s">
        <v>3</v>
      </c>
      <c r="BL20" s="1" t="s">
        <v>3</v>
      </c>
      <c r="BM20" s="1" t="s">
        <v>3</v>
      </c>
      <c r="BN20" s="1" t="s">
        <v>3</v>
      </c>
      <c r="BO20" s="1" t="s">
        <v>3</v>
      </c>
      <c r="BP20" s="1" t="s">
        <v>3</v>
      </c>
      <c r="BQ20" s="1"/>
      <c r="BR20" s="1"/>
      <c r="BS20" s="1"/>
      <c r="BT20" s="1"/>
      <c r="BU20" s="1"/>
      <c r="BV20" s="1"/>
      <c r="BW20" s="1"/>
      <c r="BX20" s="1">
        <v>0</v>
      </c>
      <c r="BY20" s="1"/>
      <c r="BZ20" s="1"/>
      <c r="CA20" s="1"/>
      <c r="CB20" s="1"/>
      <c r="CC20" s="1"/>
      <c r="CD20" s="1"/>
      <c r="CE20" s="1"/>
      <c r="CF20" s="1">
        <v>0</v>
      </c>
      <c r="CG20" s="1">
        <v>0</v>
      </c>
      <c r="CH20" s="1"/>
      <c r="CI20" s="1" t="s">
        <v>3</v>
      </c>
      <c r="CJ20" s="1" t="s">
        <v>3</v>
      </c>
      <c r="CK20" t="s">
        <v>3</v>
      </c>
      <c r="CL20" t="s">
        <v>3</v>
      </c>
      <c r="CM20" t="s">
        <v>3</v>
      </c>
      <c r="CN20" t="s">
        <v>3</v>
      </c>
      <c r="CO20" t="s">
        <v>3</v>
      </c>
      <c r="CP20" t="s">
        <v>3</v>
      </c>
      <c r="CQ20" t="s">
        <v>3</v>
      </c>
    </row>
    <row r="22" spans="1:245" x14ac:dyDescent="0.2">
      <c r="A22" s="2">
        <v>52</v>
      </c>
      <c r="B22" s="2">
        <f t="shared" ref="B22:G22" si="7">B28</f>
        <v>1</v>
      </c>
      <c r="C22" s="2">
        <f t="shared" si="7"/>
        <v>3</v>
      </c>
      <c r="D22" s="2">
        <f t="shared" si="7"/>
        <v>20</v>
      </c>
      <c r="E22" s="2">
        <f t="shared" si="7"/>
        <v>0</v>
      </c>
      <c r="F22" s="2" t="str">
        <f t="shared" si="7"/>
        <v>02-01-01</v>
      </c>
      <c r="G22" s="2" t="str">
        <f t="shared" si="7"/>
        <v>№272-26.12.24 Р ТСН Смета на обслуживание шлагбаумов (Вячеслав Козлов)</v>
      </c>
      <c r="H22" s="2"/>
      <c r="I22" s="2"/>
      <c r="J22" s="2"/>
      <c r="K22" s="2"/>
      <c r="L22" s="2"/>
      <c r="M22" s="2"/>
      <c r="N22" s="2"/>
      <c r="O22" s="2">
        <f t="shared" ref="O22:AT22" si="8">O28</f>
        <v>73207.64</v>
      </c>
      <c r="P22" s="2">
        <f t="shared" si="8"/>
        <v>531.67999999999995</v>
      </c>
      <c r="Q22" s="2">
        <f t="shared" si="8"/>
        <v>611.94000000000005</v>
      </c>
      <c r="R22" s="2">
        <f t="shared" si="8"/>
        <v>390.73</v>
      </c>
      <c r="S22" s="2">
        <f t="shared" si="8"/>
        <v>72064.02</v>
      </c>
      <c r="T22" s="2">
        <f t="shared" si="8"/>
        <v>0</v>
      </c>
      <c r="U22" s="2">
        <f t="shared" si="8"/>
        <v>146.16</v>
      </c>
      <c r="V22" s="2">
        <f t="shared" si="8"/>
        <v>0</v>
      </c>
      <c r="W22" s="2">
        <f t="shared" si="8"/>
        <v>0</v>
      </c>
      <c r="X22" s="2">
        <f t="shared" si="8"/>
        <v>50444.82</v>
      </c>
      <c r="Y22" s="2">
        <f t="shared" si="8"/>
        <v>29546.25</v>
      </c>
      <c r="Z22" s="2">
        <f t="shared" si="8"/>
        <v>0</v>
      </c>
      <c r="AA22" s="2">
        <f t="shared" si="8"/>
        <v>0</v>
      </c>
      <c r="AB22" s="2">
        <f t="shared" si="8"/>
        <v>73207.64</v>
      </c>
      <c r="AC22" s="2">
        <f t="shared" si="8"/>
        <v>531.67999999999995</v>
      </c>
      <c r="AD22" s="2">
        <f t="shared" si="8"/>
        <v>611.94000000000005</v>
      </c>
      <c r="AE22" s="2">
        <f t="shared" si="8"/>
        <v>390.73</v>
      </c>
      <c r="AF22" s="2">
        <f t="shared" si="8"/>
        <v>72064.02</v>
      </c>
      <c r="AG22" s="2">
        <f t="shared" si="8"/>
        <v>0</v>
      </c>
      <c r="AH22" s="2">
        <f t="shared" si="8"/>
        <v>146.16</v>
      </c>
      <c r="AI22" s="2">
        <f t="shared" si="8"/>
        <v>0</v>
      </c>
      <c r="AJ22" s="2">
        <f t="shared" si="8"/>
        <v>0</v>
      </c>
      <c r="AK22" s="2">
        <f t="shared" si="8"/>
        <v>50444.82</v>
      </c>
      <c r="AL22" s="2">
        <f t="shared" si="8"/>
        <v>29546.25</v>
      </c>
      <c r="AM22" s="2">
        <f t="shared" si="8"/>
        <v>0</v>
      </c>
      <c r="AN22" s="2">
        <f t="shared" si="8"/>
        <v>0</v>
      </c>
      <c r="AO22" s="2">
        <f t="shared" si="8"/>
        <v>0</v>
      </c>
      <c r="AP22" s="2">
        <f t="shared" si="8"/>
        <v>0</v>
      </c>
      <c r="AQ22" s="2">
        <f t="shared" si="8"/>
        <v>0</v>
      </c>
      <c r="AR22" s="2">
        <f t="shared" si="8"/>
        <v>153823.87</v>
      </c>
      <c r="AS22" s="2">
        <f t="shared" si="8"/>
        <v>0</v>
      </c>
      <c r="AT22" s="2">
        <f t="shared" si="8"/>
        <v>0</v>
      </c>
      <c r="AU22" s="2">
        <f t="shared" ref="AU22:BZ22" si="9">AU28</f>
        <v>153823.87</v>
      </c>
      <c r="AV22" s="2">
        <f t="shared" si="9"/>
        <v>531.67999999999995</v>
      </c>
      <c r="AW22" s="2">
        <f t="shared" si="9"/>
        <v>531.67999999999995</v>
      </c>
      <c r="AX22" s="2">
        <f t="shared" si="9"/>
        <v>0</v>
      </c>
      <c r="AY22" s="2">
        <f t="shared" si="9"/>
        <v>531.67999999999995</v>
      </c>
      <c r="AZ22" s="2">
        <f t="shared" si="9"/>
        <v>0</v>
      </c>
      <c r="BA22" s="2">
        <f t="shared" si="9"/>
        <v>0</v>
      </c>
      <c r="BB22" s="2">
        <f t="shared" si="9"/>
        <v>0</v>
      </c>
      <c r="BC22" s="2">
        <f t="shared" si="9"/>
        <v>0</v>
      </c>
      <c r="BD22" s="2">
        <f t="shared" si="9"/>
        <v>0</v>
      </c>
      <c r="BE22" s="2">
        <f t="shared" si="9"/>
        <v>0</v>
      </c>
      <c r="BF22" s="2">
        <f t="shared" si="9"/>
        <v>0</v>
      </c>
      <c r="BG22" s="2">
        <f t="shared" si="9"/>
        <v>0</v>
      </c>
      <c r="BH22" s="2">
        <f t="shared" si="9"/>
        <v>0</v>
      </c>
      <c r="BI22" s="2">
        <f t="shared" si="9"/>
        <v>0</v>
      </c>
      <c r="BJ22" s="2">
        <f t="shared" si="9"/>
        <v>0</v>
      </c>
      <c r="BK22" s="2">
        <f t="shared" si="9"/>
        <v>0</v>
      </c>
      <c r="BL22" s="2">
        <f t="shared" si="9"/>
        <v>0</v>
      </c>
      <c r="BM22" s="2">
        <f t="shared" si="9"/>
        <v>0</v>
      </c>
      <c r="BN22" s="2">
        <f t="shared" si="9"/>
        <v>0</v>
      </c>
      <c r="BO22" s="2">
        <f t="shared" si="9"/>
        <v>0</v>
      </c>
      <c r="BP22" s="2">
        <f t="shared" si="9"/>
        <v>0</v>
      </c>
      <c r="BQ22" s="2">
        <f t="shared" si="9"/>
        <v>0</v>
      </c>
      <c r="BR22" s="2">
        <f t="shared" si="9"/>
        <v>0</v>
      </c>
      <c r="BS22" s="2">
        <f t="shared" si="9"/>
        <v>0</v>
      </c>
      <c r="BT22" s="2">
        <f t="shared" si="9"/>
        <v>0</v>
      </c>
      <c r="BU22" s="2">
        <f t="shared" si="9"/>
        <v>0</v>
      </c>
      <c r="BV22" s="2">
        <f t="shared" si="9"/>
        <v>0</v>
      </c>
      <c r="BW22" s="2">
        <f t="shared" si="9"/>
        <v>0</v>
      </c>
      <c r="BX22" s="2">
        <f t="shared" si="9"/>
        <v>0</v>
      </c>
      <c r="BY22" s="2">
        <f t="shared" si="9"/>
        <v>0</v>
      </c>
      <c r="BZ22" s="2">
        <f t="shared" si="9"/>
        <v>0</v>
      </c>
      <c r="CA22" s="2">
        <f t="shared" ref="CA22:DF22" si="10">CA28</f>
        <v>153823.87</v>
      </c>
      <c r="CB22" s="2">
        <f t="shared" si="10"/>
        <v>0</v>
      </c>
      <c r="CC22" s="2">
        <f t="shared" si="10"/>
        <v>0</v>
      </c>
      <c r="CD22" s="2">
        <f t="shared" si="10"/>
        <v>153823.87</v>
      </c>
      <c r="CE22" s="2">
        <f t="shared" si="10"/>
        <v>531.67999999999995</v>
      </c>
      <c r="CF22" s="2">
        <f t="shared" si="10"/>
        <v>531.67999999999995</v>
      </c>
      <c r="CG22" s="2">
        <f t="shared" si="10"/>
        <v>0</v>
      </c>
      <c r="CH22" s="2">
        <f t="shared" si="10"/>
        <v>531.67999999999995</v>
      </c>
      <c r="CI22" s="2">
        <f t="shared" si="10"/>
        <v>0</v>
      </c>
      <c r="CJ22" s="2">
        <f t="shared" si="10"/>
        <v>0</v>
      </c>
      <c r="CK22" s="2">
        <f t="shared" si="10"/>
        <v>0</v>
      </c>
      <c r="CL22" s="2">
        <f t="shared" si="10"/>
        <v>0</v>
      </c>
      <c r="CM22" s="2">
        <f t="shared" si="10"/>
        <v>0</v>
      </c>
      <c r="CN22" s="2">
        <f t="shared" si="10"/>
        <v>0</v>
      </c>
      <c r="CO22" s="2">
        <f t="shared" si="10"/>
        <v>0</v>
      </c>
      <c r="CP22" s="2">
        <f t="shared" si="10"/>
        <v>0</v>
      </c>
      <c r="CQ22" s="2">
        <f t="shared" si="10"/>
        <v>0</v>
      </c>
      <c r="CR22" s="2">
        <f t="shared" si="10"/>
        <v>0</v>
      </c>
      <c r="CS22" s="2">
        <f t="shared" si="10"/>
        <v>0</v>
      </c>
      <c r="CT22" s="2">
        <f t="shared" si="10"/>
        <v>0</v>
      </c>
      <c r="CU22" s="2">
        <f t="shared" si="10"/>
        <v>0</v>
      </c>
      <c r="CV22" s="2">
        <f t="shared" si="10"/>
        <v>0</v>
      </c>
      <c r="CW22" s="2">
        <f t="shared" si="10"/>
        <v>0</v>
      </c>
      <c r="CX22" s="2">
        <f t="shared" si="10"/>
        <v>0</v>
      </c>
      <c r="CY22" s="2">
        <f t="shared" si="10"/>
        <v>0</v>
      </c>
      <c r="CZ22" s="2">
        <f t="shared" si="10"/>
        <v>0</v>
      </c>
      <c r="DA22" s="2">
        <f t="shared" si="10"/>
        <v>0</v>
      </c>
      <c r="DB22" s="2">
        <f t="shared" si="10"/>
        <v>0</v>
      </c>
      <c r="DC22" s="2">
        <f t="shared" si="10"/>
        <v>0</v>
      </c>
      <c r="DD22" s="2">
        <f t="shared" si="10"/>
        <v>0</v>
      </c>
      <c r="DE22" s="2">
        <f t="shared" si="10"/>
        <v>0</v>
      </c>
      <c r="DF22" s="2">
        <f t="shared" si="10"/>
        <v>0</v>
      </c>
      <c r="DG22" s="3">
        <f t="shared" ref="DG22:EL22" si="11">DG28</f>
        <v>0</v>
      </c>
      <c r="DH22" s="3">
        <f t="shared" si="11"/>
        <v>0</v>
      </c>
      <c r="DI22" s="3">
        <f t="shared" si="11"/>
        <v>0</v>
      </c>
      <c r="DJ22" s="3">
        <f t="shared" si="11"/>
        <v>0</v>
      </c>
      <c r="DK22" s="3">
        <f t="shared" si="11"/>
        <v>0</v>
      </c>
      <c r="DL22" s="3">
        <f t="shared" si="11"/>
        <v>0</v>
      </c>
      <c r="DM22" s="3">
        <f t="shared" si="11"/>
        <v>0</v>
      </c>
      <c r="DN22" s="3">
        <f t="shared" si="11"/>
        <v>0</v>
      </c>
      <c r="DO22" s="3">
        <f t="shared" si="11"/>
        <v>0</v>
      </c>
      <c r="DP22" s="3">
        <f t="shared" si="11"/>
        <v>0</v>
      </c>
      <c r="DQ22" s="3">
        <f t="shared" si="11"/>
        <v>0</v>
      </c>
      <c r="DR22" s="3">
        <f t="shared" si="11"/>
        <v>0</v>
      </c>
      <c r="DS22" s="3">
        <f t="shared" si="11"/>
        <v>0</v>
      </c>
      <c r="DT22" s="3">
        <f t="shared" si="11"/>
        <v>0</v>
      </c>
      <c r="DU22" s="3">
        <f t="shared" si="11"/>
        <v>0</v>
      </c>
      <c r="DV22" s="3">
        <f t="shared" si="11"/>
        <v>0</v>
      </c>
      <c r="DW22" s="3">
        <f t="shared" si="11"/>
        <v>0</v>
      </c>
      <c r="DX22" s="3">
        <f t="shared" si="11"/>
        <v>0</v>
      </c>
      <c r="DY22" s="3">
        <f t="shared" si="11"/>
        <v>0</v>
      </c>
      <c r="DZ22" s="3">
        <f t="shared" si="11"/>
        <v>0</v>
      </c>
      <c r="EA22" s="3">
        <f t="shared" si="11"/>
        <v>0</v>
      </c>
      <c r="EB22" s="3">
        <f t="shared" si="11"/>
        <v>0</v>
      </c>
      <c r="EC22" s="3">
        <f t="shared" si="11"/>
        <v>0</v>
      </c>
      <c r="ED22" s="3">
        <f t="shared" si="11"/>
        <v>0</v>
      </c>
      <c r="EE22" s="3">
        <f t="shared" si="11"/>
        <v>0</v>
      </c>
      <c r="EF22" s="3">
        <f t="shared" si="11"/>
        <v>0</v>
      </c>
      <c r="EG22" s="3">
        <f t="shared" si="11"/>
        <v>0</v>
      </c>
      <c r="EH22" s="3">
        <f t="shared" si="11"/>
        <v>0</v>
      </c>
      <c r="EI22" s="3">
        <f t="shared" si="11"/>
        <v>0</v>
      </c>
      <c r="EJ22" s="3">
        <f t="shared" si="11"/>
        <v>0</v>
      </c>
      <c r="EK22" s="3">
        <f t="shared" si="11"/>
        <v>0</v>
      </c>
      <c r="EL22" s="3">
        <f t="shared" si="11"/>
        <v>0</v>
      </c>
      <c r="EM22" s="3">
        <f t="shared" ref="EM22:FR22" si="12">EM28</f>
        <v>0</v>
      </c>
      <c r="EN22" s="3">
        <f t="shared" si="12"/>
        <v>0</v>
      </c>
      <c r="EO22" s="3">
        <f t="shared" si="12"/>
        <v>0</v>
      </c>
      <c r="EP22" s="3">
        <f t="shared" si="12"/>
        <v>0</v>
      </c>
      <c r="EQ22" s="3">
        <f t="shared" si="12"/>
        <v>0</v>
      </c>
      <c r="ER22" s="3">
        <f t="shared" si="12"/>
        <v>0</v>
      </c>
      <c r="ES22" s="3">
        <f t="shared" si="12"/>
        <v>0</v>
      </c>
      <c r="ET22" s="3">
        <f t="shared" si="12"/>
        <v>0</v>
      </c>
      <c r="EU22" s="3">
        <f t="shared" si="12"/>
        <v>0</v>
      </c>
      <c r="EV22" s="3">
        <f t="shared" si="12"/>
        <v>0</v>
      </c>
      <c r="EW22" s="3">
        <f t="shared" si="12"/>
        <v>0</v>
      </c>
      <c r="EX22" s="3">
        <f t="shared" si="12"/>
        <v>0</v>
      </c>
      <c r="EY22" s="3">
        <f t="shared" si="12"/>
        <v>0</v>
      </c>
      <c r="EZ22" s="3">
        <f t="shared" si="12"/>
        <v>0</v>
      </c>
      <c r="FA22" s="3">
        <f t="shared" si="12"/>
        <v>0</v>
      </c>
      <c r="FB22" s="3">
        <f t="shared" si="12"/>
        <v>0</v>
      </c>
      <c r="FC22" s="3">
        <f t="shared" si="12"/>
        <v>0</v>
      </c>
      <c r="FD22" s="3">
        <f t="shared" si="12"/>
        <v>0</v>
      </c>
      <c r="FE22" s="3">
        <f t="shared" si="12"/>
        <v>0</v>
      </c>
      <c r="FF22" s="3">
        <f t="shared" si="12"/>
        <v>0</v>
      </c>
      <c r="FG22" s="3">
        <f t="shared" si="12"/>
        <v>0</v>
      </c>
      <c r="FH22" s="3">
        <f t="shared" si="12"/>
        <v>0</v>
      </c>
      <c r="FI22" s="3">
        <f t="shared" si="12"/>
        <v>0</v>
      </c>
      <c r="FJ22" s="3">
        <f t="shared" si="12"/>
        <v>0</v>
      </c>
      <c r="FK22" s="3">
        <f t="shared" si="12"/>
        <v>0</v>
      </c>
      <c r="FL22" s="3">
        <f t="shared" si="12"/>
        <v>0</v>
      </c>
      <c r="FM22" s="3">
        <f t="shared" si="12"/>
        <v>0</v>
      </c>
      <c r="FN22" s="3">
        <f t="shared" si="12"/>
        <v>0</v>
      </c>
      <c r="FO22" s="3">
        <f t="shared" si="12"/>
        <v>0</v>
      </c>
      <c r="FP22" s="3">
        <f t="shared" si="12"/>
        <v>0</v>
      </c>
      <c r="FQ22" s="3">
        <f t="shared" si="12"/>
        <v>0</v>
      </c>
      <c r="FR22" s="3">
        <f t="shared" si="12"/>
        <v>0</v>
      </c>
      <c r="FS22" s="3">
        <f t="shared" ref="FS22:GX22" si="13">FS28</f>
        <v>0</v>
      </c>
      <c r="FT22" s="3">
        <f t="shared" si="13"/>
        <v>0</v>
      </c>
      <c r="FU22" s="3">
        <f t="shared" si="13"/>
        <v>0</v>
      </c>
      <c r="FV22" s="3">
        <f t="shared" si="13"/>
        <v>0</v>
      </c>
      <c r="FW22" s="3">
        <f t="shared" si="13"/>
        <v>0</v>
      </c>
      <c r="FX22" s="3">
        <f t="shared" si="13"/>
        <v>0</v>
      </c>
      <c r="FY22" s="3">
        <f t="shared" si="13"/>
        <v>0</v>
      </c>
      <c r="FZ22" s="3">
        <f t="shared" si="13"/>
        <v>0</v>
      </c>
      <c r="GA22" s="3">
        <f t="shared" si="13"/>
        <v>0</v>
      </c>
      <c r="GB22" s="3">
        <f t="shared" si="13"/>
        <v>0</v>
      </c>
      <c r="GC22" s="3">
        <f t="shared" si="13"/>
        <v>0</v>
      </c>
      <c r="GD22" s="3">
        <f t="shared" si="13"/>
        <v>0</v>
      </c>
      <c r="GE22" s="3">
        <f t="shared" si="13"/>
        <v>0</v>
      </c>
      <c r="GF22" s="3">
        <f t="shared" si="13"/>
        <v>0</v>
      </c>
      <c r="GG22" s="3">
        <f t="shared" si="13"/>
        <v>0</v>
      </c>
      <c r="GH22" s="3">
        <f t="shared" si="13"/>
        <v>0</v>
      </c>
      <c r="GI22" s="3">
        <f t="shared" si="13"/>
        <v>0</v>
      </c>
      <c r="GJ22" s="3">
        <f t="shared" si="13"/>
        <v>0</v>
      </c>
      <c r="GK22" s="3">
        <f t="shared" si="13"/>
        <v>0</v>
      </c>
      <c r="GL22" s="3">
        <f t="shared" si="13"/>
        <v>0</v>
      </c>
      <c r="GM22" s="3">
        <f t="shared" si="13"/>
        <v>0</v>
      </c>
      <c r="GN22" s="3">
        <f t="shared" si="13"/>
        <v>0</v>
      </c>
      <c r="GO22" s="3">
        <f t="shared" si="13"/>
        <v>0</v>
      </c>
      <c r="GP22" s="3">
        <f t="shared" si="13"/>
        <v>0</v>
      </c>
      <c r="GQ22" s="3">
        <f t="shared" si="13"/>
        <v>0</v>
      </c>
      <c r="GR22" s="3">
        <f t="shared" si="13"/>
        <v>0</v>
      </c>
      <c r="GS22" s="3">
        <f t="shared" si="13"/>
        <v>0</v>
      </c>
      <c r="GT22" s="3">
        <f t="shared" si="13"/>
        <v>0</v>
      </c>
      <c r="GU22" s="3">
        <f t="shared" si="13"/>
        <v>0</v>
      </c>
      <c r="GV22" s="3">
        <f t="shared" si="13"/>
        <v>0</v>
      </c>
      <c r="GW22" s="3">
        <f t="shared" si="13"/>
        <v>0</v>
      </c>
      <c r="GX22" s="3">
        <f t="shared" si="13"/>
        <v>0</v>
      </c>
    </row>
    <row r="24" spans="1:245" x14ac:dyDescent="0.2">
      <c r="A24">
        <v>17</v>
      </c>
      <c r="B24">
        <v>1</v>
      </c>
      <c r="C24">
        <f>ROW(SmtRes!A3)</f>
        <v>3</v>
      </c>
      <c r="D24">
        <f>ROW(EtalonRes!A3)</f>
        <v>3</v>
      </c>
      <c r="E24" t="s">
        <v>15</v>
      </c>
      <c r="F24" t="s">
        <v>16</v>
      </c>
      <c r="G24" t="s">
        <v>123</v>
      </c>
      <c r="H24" t="s">
        <v>17</v>
      </c>
      <c r="I24">
        <v>9</v>
      </c>
      <c r="J24">
        <v>0</v>
      </c>
      <c r="K24">
        <v>9</v>
      </c>
      <c r="O24">
        <f>ROUND(CP24,2)</f>
        <v>63493.53</v>
      </c>
      <c r="P24">
        <f>ROUND((ROUND((AC24*AW24*I24),2)*BC24),2)</f>
        <v>478.58</v>
      </c>
      <c r="Q24">
        <f>(ROUND((ROUND(((ET24)*AV24*I24),2)*BB24),2)+ROUND((ROUND(((AE24-(EU24))*AV24*I24),2)*BS24),2))</f>
        <v>0</v>
      </c>
      <c r="R24">
        <f>ROUND((ROUND((AE24*AV24*I24),2)*BS24),2)</f>
        <v>0</v>
      </c>
      <c r="S24">
        <f>ROUND((ROUND((AF24*AV24*I24),2)*BA24),2)</f>
        <v>63014.95</v>
      </c>
      <c r="T24">
        <f>ROUND(CU24*I24,2)</f>
        <v>0</v>
      </c>
      <c r="U24">
        <f>CV24*I24</f>
        <v>129.96</v>
      </c>
      <c r="V24">
        <f>CW24*I24</f>
        <v>0</v>
      </c>
      <c r="W24">
        <f>ROUND(CX24*I24,2)</f>
        <v>0</v>
      </c>
      <c r="X24">
        <f t="shared" ref="X24:Y26" si="14">ROUND(CY24,2)</f>
        <v>44110.47</v>
      </c>
      <c r="Y24">
        <f t="shared" si="14"/>
        <v>25836.13</v>
      </c>
      <c r="AA24">
        <v>91035980</v>
      </c>
      <c r="AB24">
        <f>ROUND((AC24+AD24+AF24),6)</f>
        <v>188.67</v>
      </c>
      <c r="AC24">
        <f>ROUND((ES24),6)</f>
        <v>6.43</v>
      </c>
      <c r="AD24">
        <f>ROUND((((ET24)-(EU24))+AE24),6)</f>
        <v>0</v>
      </c>
      <c r="AE24">
        <f t="shared" ref="AE24:AF26" si="15">ROUND((EU24),6)</f>
        <v>0</v>
      </c>
      <c r="AF24">
        <f t="shared" si="15"/>
        <v>182.24</v>
      </c>
      <c r="AG24">
        <f>ROUND((AP24),6)</f>
        <v>0</v>
      </c>
      <c r="AH24">
        <f t="shared" ref="AH24:AI26" si="16">(EW24)</f>
        <v>14.44</v>
      </c>
      <c r="AI24">
        <f t="shared" si="16"/>
        <v>0</v>
      </c>
      <c r="AJ24">
        <f>(AS24)</f>
        <v>0</v>
      </c>
      <c r="AK24">
        <v>188.67</v>
      </c>
      <c r="AL24">
        <v>6.43</v>
      </c>
      <c r="AM24">
        <v>0</v>
      </c>
      <c r="AN24">
        <v>0</v>
      </c>
      <c r="AO24">
        <v>182.24</v>
      </c>
      <c r="AP24">
        <v>0</v>
      </c>
      <c r="AQ24">
        <v>14.44</v>
      </c>
      <c r="AR24">
        <v>0</v>
      </c>
      <c r="AS24">
        <v>0</v>
      </c>
      <c r="AT24">
        <v>70</v>
      </c>
      <c r="AU24">
        <v>41</v>
      </c>
      <c r="AV24">
        <v>1</v>
      </c>
      <c r="AW24">
        <v>1</v>
      </c>
      <c r="AZ24">
        <v>1</v>
      </c>
      <c r="BA24">
        <v>38.42</v>
      </c>
      <c r="BB24">
        <v>1</v>
      </c>
      <c r="BC24">
        <v>8.27</v>
      </c>
      <c r="BD24" t="s">
        <v>3</v>
      </c>
      <c r="BE24" t="s">
        <v>3</v>
      </c>
      <c r="BF24" t="s">
        <v>3</v>
      </c>
      <c r="BG24" t="s">
        <v>3</v>
      </c>
      <c r="BH24">
        <v>0</v>
      </c>
      <c r="BI24">
        <v>4</v>
      </c>
      <c r="BJ24" t="s">
        <v>18</v>
      </c>
      <c r="BM24">
        <v>1547</v>
      </c>
      <c r="BN24">
        <v>0</v>
      </c>
      <c r="BO24" t="s">
        <v>16</v>
      </c>
      <c r="BP24">
        <v>1</v>
      </c>
      <c r="BQ24">
        <v>140</v>
      </c>
      <c r="BR24">
        <v>0</v>
      </c>
      <c r="BS24">
        <v>38.42</v>
      </c>
      <c r="BT24">
        <v>1</v>
      </c>
      <c r="BU24">
        <v>1</v>
      </c>
      <c r="BV24">
        <v>1</v>
      </c>
      <c r="BW24">
        <v>1</v>
      </c>
      <c r="BX24">
        <v>1</v>
      </c>
      <c r="BY24" t="s">
        <v>3</v>
      </c>
      <c r="BZ24">
        <v>70</v>
      </c>
      <c r="CA24">
        <v>41</v>
      </c>
      <c r="CB24" t="s">
        <v>3</v>
      </c>
      <c r="CE24">
        <v>30</v>
      </c>
      <c r="CF24">
        <v>0</v>
      </c>
      <c r="CG24">
        <v>0</v>
      </c>
      <c r="CM24">
        <v>0</v>
      </c>
      <c r="CN24" t="s">
        <v>3</v>
      </c>
      <c r="CO24">
        <v>0</v>
      </c>
      <c r="CP24">
        <f>(P24+Q24+S24)</f>
        <v>63493.53</v>
      </c>
      <c r="CQ24">
        <f>ROUND((ROUND((AC24*AW24*1),2)*BC24),2)</f>
        <v>53.18</v>
      </c>
      <c r="CR24">
        <f>(ROUND((ROUND(((ET24)*AV24*1),2)*BB24),2)+ROUND((ROUND(((AE24-(EU24))*AV24*1),2)*BS24),2))</f>
        <v>0</v>
      </c>
      <c r="CS24">
        <f>ROUND((ROUND((AE24*AV24*1),2)*BS24),2)</f>
        <v>0</v>
      </c>
      <c r="CT24">
        <f>ROUND((ROUND((AF24*AV24*1),2)*BA24),2)</f>
        <v>7001.66</v>
      </c>
      <c r="CU24">
        <f>AG24</f>
        <v>0</v>
      </c>
      <c r="CV24">
        <f>(AH24*AV24)</f>
        <v>14.44</v>
      </c>
      <c r="CW24">
        <f t="shared" ref="CW24:CX26" si="17">AI24</f>
        <v>0</v>
      </c>
      <c r="CX24">
        <f t="shared" si="17"/>
        <v>0</v>
      </c>
      <c r="CY24">
        <f>S24*(BZ24/100)</f>
        <v>44110.464999999997</v>
      </c>
      <c r="CZ24">
        <f>S24*(CA24/100)</f>
        <v>25836.129499999995</v>
      </c>
      <c r="DC24" t="s">
        <v>3</v>
      </c>
      <c r="DD24" t="s">
        <v>3</v>
      </c>
      <c r="DE24" t="s">
        <v>3</v>
      </c>
      <c r="DF24" t="s">
        <v>3</v>
      </c>
      <c r="DG24" t="s">
        <v>3</v>
      </c>
      <c r="DH24" t="s">
        <v>3</v>
      </c>
      <c r="DI24" t="s">
        <v>3</v>
      </c>
      <c r="DJ24" t="s">
        <v>3</v>
      </c>
      <c r="DK24" t="s">
        <v>3</v>
      </c>
      <c r="DL24" t="s">
        <v>3</v>
      </c>
      <c r="DM24" t="s">
        <v>3</v>
      </c>
      <c r="DN24">
        <v>80</v>
      </c>
      <c r="DO24">
        <v>55</v>
      </c>
      <c r="DP24">
        <v>1</v>
      </c>
      <c r="DQ24">
        <v>1</v>
      </c>
      <c r="DU24">
        <v>1013</v>
      </c>
      <c r="DV24" t="s">
        <v>17</v>
      </c>
      <c r="DW24" t="s">
        <v>17</v>
      </c>
      <c r="DX24">
        <v>1</v>
      </c>
      <c r="DZ24" t="s">
        <v>3</v>
      </c>
      <c r="EA24" t="s">
        <v>3</v>
      </c>
      <c r="EB24" t="s">
        <v>3</v>
      </c>
      <c r="EC24" t="s">
        <v>3</v>
      </c>
      <c r="EE24">
        <v>89101398</v>
      </c>
      <c r="EF24">
        <v>140</v>
      </c>
      <c r="EG24" t="s">
        <v>19</v>
      </c>
      <c r="EH24">
        <v>0</v>
      </c>
      <c r="EI24" t="s">
        <v>3</v>
      </c>
      <c r="EJ24">
        <v>4</v>
      </c>
      <c r="EK24">
        <v>1547</v>
      </c>
      <c r="EL24" t="s">
        <v>20</v>
      </c>
      <c r="EM24" t="s">
        <v>21</v>
      </c>
      <c r="EO24" t="s">
        <v>3</v>
      </c>
      <c r="EQ24">
        <v>0</v>
      </c>
      <c r="ER24">
        <v>188.67</v>
      </c>
      <c r="ES24">
        <v>6.43</v>
      </c>
      <c r="ET24">
        <v>0</v>
      </c>
      <c r="EU24">
        <v>0</v>
      </c>
      <c r="EV24">
        <v>182.24</v>
      </c>
      <c r="EW24">
        <v>14.44</v>
      </c>
      <c r="EX24">
        <v>0</v>
      </c>
      <c r="EY24">
        <v>0</v>
      </c>
      <c r="FQ24">
        <v>0</v>
      </c>
      <c r="FR24">
        <f>ROUND(IF(BI24=3,GM24,0),2)</f>
        <v>0</v>
      </c>
      <c r="FS24">
        <v>0</v>
      </c>
      <c r="FX24">
        <v>80</v>
      </c>
      <c r="FY24">
        <v>55</v>
      </c>
      <c r="GA24" t="s">
        <v>3</v>
      </c>
      <c r="GD24">
        <v>0</v>
      </c>
      <c r="GF24">
        <v>1913711900</v>
      </c>
      <c r="GG24">
        <v>2</v>
      </c>
      <c r="GH24">
        <v>1</v>
      </c>
      <c r="GI24">
        <v>2</v>
      </c>
      <c r="GJ24">
        <v>0</v>
      </c>
      <c r="GK24">
        <f>ROUND(R24*(R12)/100,2)</f>
        <v>0</v>
      </c>
      <c r="GL24">
        <f>ROUND(IF(AND(BH24=3,BI24=3,FS24&lt;&gt;0),P24,0),2)</f>
        <v>0</v>
      </c>
      <c r="GM24">
        <f>ROUND(O24+X24+Y24+GK24,2)+GX24</f>
        <v>133440.13</v>
      </c>
      <c r="GN24">
        <f>IF(OR(BI24=0,BI24=1),GM24-GX24,0)</f>
        <v>0</v>
      </c>
      <c r="GO24">
        <f>IF(BI24=2,GM24-GX24,0)</f>
        <v>0</v>
      </c>
      <c r="GP24">
        <f>IF(BI24=4,GM24-GX24,0)</f>
        <v>133440.13</v>
      </c>
      <c r="GR24">
        <v>0</v>
      </c>
      <c r="GS24">
        <v>3</v>
      </c>
      <c r="GT24">
        <v>0</v>
      </c>
      <c r="GU24" t="s">
        <v>3</v>
      </c>
      <c r="GV24">
        <f>ROUND((GT24),6)</f>
        <v>0</v>
      </c>
      <c r="GW24">
        <v>1</v>
      </c>
      <c r="GX24">
        <f>ROUND(HC24*I24,2)</f>
        <v>0</v>
      </c>
      <c r="HA24">
        <v>0</v>
      </c>
      <c r="HB24">
        <v>0</v>
      </c>
      <c r="HC24">
        <f>GV24*GW24</f>
        <v>0</v>
      </c>
      <c r="HE24" t="s">
        <v>3</v>
      </c>
      <c r="HF24" t="s">
        <v>3</v>
      </c>
      <c r="HM24" t="s">
        <v>3</v>
      </c>
      <c r="HN24" t="s">
        <v>3</v>
      </c>
      <c r="HO24" t="s">
        <v>3</v>
      </c>
      <c r="HP24" t="s">
        <v>3</v>
      </c>
      <c r="HQ24" t="s">
        <v>3</v>
      </c>
      <c r="IK24">
        <v>0</v>
      </c>
    </row>
    <row r="25" spans="1:245" x14ac:dyDescent="0.2">
      <c r="A25">
        <v>17</v>
      </c>
      <c r="B25">
        <v>1</v>
      </c>
      <c r="C25">
        <f>ROW(SmtRes!A8)</f>
        <v>8</v>
      </c>
      <c r="D25">
        <f>ROW(EtalonRes!A8)</f>
        <v>8</v>
      </c>
      <c r="E25" t="s">
        <v>22</v>
      </c>
      <c r="F25" t="s">
        <v>23</v>
      </c>
      <c r="G25" t="s">
        <v>124</v>
      </c>
      <c r="H25" t="s">
        <v>17</v>
      </c>
      <c r="I25">
        <v>9</v>
      </c>
      <c r="J25">
        <v>0</v>
      </c>
      <c r="K25">
        <v>9</v>
      </c>
      <c r="O25">
        <f>ROUND(CP25,2)</f>
        <v>4420.22</v>
      </c>
      <c r="P25">
        <f>ROUND((ROUND((AC25*AW25*I25),2)*BC25),2)</f>
        <v>26.55</v>
      </c>
      <c r="Q25">
        <f>(ROUND((ROUND(((ET25)*AV25*I25),2)*BB25),2)+ROUND((ROUND(((AE25-(EU25))*AV25*I25),2)*BS25),2))</f>
        <v>271.97000000000003</v>
      </c>
      <c r="R25">
        <f>ROUND((ROUND((AE25*AV25*I25),2)*BS25),2)</f>
        <v>172.89</v>
      </c>
      <c r="S25">
        <f>ROUND((ROUND((AF25*AV25*I25),2)*BA25),2)</f>
        <v>4121.7</v>
      </c>
      <c r="T25">
        <f>ROUND(CU25*I25,2)</f>
        <v>0</v>
      </c>
      <c r="U25">
        <f>CV25*I25</f>
        <v>7.38</v>
      </c>
      <c r="V25">
        <f>CW25*I25</f>
        <v>0</v>
      </c>
      <c r="W25">
        <f>ROUND(CX25*I25,2)</f>
        <v>0</v>
      </c>
      <c r="X25">
        <f t="shared" si="14"/>
        <v>2885.19</v>
      </c>
      <c r="Y25">
        <f t="shared" si="14"/>
        <v>1689.9</v>
      </c>
      <c r="AA25">
        <v>91035980</v>
      </c>
      <c r="AB25">
        <f>ROUND((AC25+AD25+AF25),6)</f>
        <v>13.73</v>
      </c>
      <c r="AC25">
        <f>ROUND((ES25),6)</f>
        <v>0.05</v>
      </c>
      <c r="AD25">
        <f>ROUND((((ET25)-(EU25))+AE25),6)</f>
        <v>1.76</v>
      </c>
      <c r="AE25">
        <f t="shared" si="15"/>
        <v>0.5</v>
      </c>
      <c r="AF25">
        <f t="shared" si="15"/>
        <v>11.92</v>
      </c>
      <c r="AG25">
        <f>ROUND((AP25),6)</f>
        <v>0</v>
      </c>
      <c r="AH25">
        <f t="shared" si="16"/>
        <v>0.82</v>
      </c>
      <c r="AI25">
        <f t="shared" si="16"/>
        <v>0</v>
      </c>
      <c r="AJ25">
        <f>(AS25)</f>
        <v>0</v>
      </c>
      <c r="AK25">
        <v>13.73</v>
      </c>
      <c r="AL25">
        <v>0.05</v>
      </c>
      <c r="AM25">
        <v>1.76</v>
      </c>
      <c r="AN25">
        <v>0.5</v>
      </c>
      <c r="AO25">
        <v>11.92</v>
      </c>
      <c r="AP25">
        <v>0</v>
      </c>
      <c r="AQ25">
        <v>0.82</v>
      </c>
      <c r="AR25">
        <v>0</v>
      </c>
      <c r="AS25">
        <v>0</v>
      </c>
      <c r="AT25">
        <v>70</v>
      </c>
      <c r="AU25">
        <v>41</v>
      </c>
      <c r="AV25">
        <v>1</v>
      </c>
      <c r="AW25">
        <v>1</v>
      </c>
      <c r="AZ25">
        <v>1</v>
      </c>
      <c r="BA25">
        <v>38.42</v>
      </c>
      <c r="BB25">
        <v>17.170000000000002</v>
      </c>
      <c r="BC25">
        <v>59</v>
      </c>
      <c r="BD25" t="s">
        <v>3</v>
      </c>
      <c r="BE25" t="s">
        <v>3</v>
      </c>
      <c r="BF25" t="s">
        <v>3</v>
      </c>
      <c r="BG25" t="s">
        <v>3</v>
      </c>
      <c r="BH25">
        <v>0</v>
      </c>
      <c r="BI25">
        <v>4</v>
      </c>
      <c r="BJ25" t="s">
        <v>24</v>
      </c>
      <c r="BM25">
        <v>890</v>
      </c>
      <c r="BN25">
        <v>0</v>
      </c>
      <c r="BO25" t="s">
        <v>23</v>
      </c>
      <c r="BP25">
        <v>1</v>
      </c>
      <c r="BQ25">
        <v>140</v>
      </c>
      <c r="BR25">
        <v>0</v>
      </c>
      <c r="BS25">
        <v>38.42</v>
      </c>
      <c r="BT25">
        <v>1</v>
      </c>
      <c r="BU25">
        <v>1</v>
      </c>
      <c r="BV25">
        <v>1</v>
      </c>
      <c r="BW25">
        <v>1</v>
      </c>
      <c r="BX25">
        <v>1</v>
      </c>
      <c r="BY25" t="s">
        <v>3</v>
      </c>
      <c r="BZ25">
        <v>70</v>
      </c>
      <c r="CA25">
        <v>41</v>
      </c>
      <c r="CB25" t="s">
        <v>3</v>
      </c>
      <c r="CE25">
        <v>30</v>
      </c>
      <c r="CF25">
        <v>0</v>
      </c>
      <c r="CG25">
        <v>0</v>
      </c>
      <c r="CM25">
        <v>0</v>
      </c>
      <c r="CN25" t="s">
        <v>3</v>
      </c>
      <c r="CO25">
        <v>0</v>
      </c>
      <c r="CP25">
        <f>(P25+Q25+S25)</f>
        <v>4420.22</v>
      </c>
      <c r="CQ25">
        <f>ROUND((ROUND((AC25*AW25*1),2)*BC25),2)</f>
        <v>2.95</v>
      </c>
      <c r="CR25">
        <f>(ROUND((ROUND(((ET25)*AV25*1),2)*BB25),2)+ROUND((ROUND(((AE25-(EU25))*AV25*1),2)*BS25),2))</f>
        <v>30.22</v>
      </c>
      <c r="CS25">
        <f>ROUND((ROUND((AE25*AV25*1),2)*BS25),2)</f>
        <v>19.21</v>
      </c>
      <c r="CT25">
        <f>ROUND((ROUND((AF25*AV25*1),2)*BA25),2)</f>
        <v>457.97</v>
      </c>
      <c r="CU25">
        <f>AG25</f>
        <v>0</v>
      </c>
      <c r="CV25">
        <f>(AH25*AV25)</f>
        <v>0.82</v>
      </c>
      <c r="CW25">
        <f t="shared" si="17"/>
        <v>0</v>
      </c>
      <c r="CX25">
        <f t="shared" si="17"/>
        <v>0</v>
      </c>
      <c r="CY25">
        <f>S25*(BZ25/100)</f>
        <v>2885.1899999999996</v>
      </c>
      <c r="CZ25">
        <f>S25*(CA25/100)</f>
        <v>1689.8969999999999</v>
      </c>
      <c r="DC25" t="s">
        <v>3</v>
      </c>
      <c r="DD25" t="s">
        <v>3</v>
      </c>
      <c r="DE25" t="s">
        <v>3</v>
      </c>
      <c r="DF25" t="s">
        <v>3</v>
      </c>
      <c r="DG25" t="s">
        <v>3</v>
      </c>
      <c r="DH25" t="s">
        <v>3</v>
      </c>
      <c r="DI25" t="s">
        <v>3</v>
      </c>
      <c r="DJ25" t="s">
        <v>3</v>
      </c>
      <c r="DK25" t="s">
        <v>3</v>
      </c>
      <c r="DL25" t="s">
        <v>3</v>
      </c>
      <c r="DM25" t="s">
        <v>3</v>
      </c>
      <c r="DN25">
        <v>80</v>
      </c>
      <c r="DO25">
        <v>55</v>
      </c>
      <c r="DP25">
        <v>1</v>
      </c>
      <c r="DQ25">
        <v>1</v>
      </c>
      <c r="DU25">
        <v>1013</v>
      </c>
      <c r="DV25" t="s">
        <v>17</v>
      </c>
      <c r="DW25" t="s">
        <v>17</v>
      </c>
      <c r="DX25">
        <v>1</v>
      </c>
      <c r="DZ25" t="s">
        <v>3</v>
      </c>
      <c r="EA25" t="s">
        <v>3</v>
      </c>
      <c r="EB25" t="s">
        <v>3</v>
      </c>
      <c r="EC25" t="s">
        <v>3</v>
      </c>
      <c r="EE25">
        <v>89100741</v>
      </c>
      <c r="EF25">
        <v>140</v>
      </c>
      <c r="EG25" t="s">
        <v>19</v>
      </c>
      <c r="EH25">
        <v>0</v>
      </c>
      <c r="EI25" t="s">
        <v>3</v>
      </c>
      <c r="EJ25">
        <v>4</v>
      </c>
      <c r="EK25">
        <v>890</v>
      </c>
      <c r="EL25" t="s">
        <v>25</v>
      </c>
      <c r="EM25" t="s">
        <v>26</v>
      </c>
      <c r="EO25" t="s">
        <v>3</v>
      </c>
      <c r="EQ25">
        <v>0</v>
      </c>
      <c r="ER25">
        <v>13.73</v>
      </c>
      <c r="ES25">
        <v>0.05</v>
      </c>
      <c r="ET25">
        <v>1.76</v>
      </c>
      <c r="EU25">
        <v>0.5</v>
      </c>
      <c r="EV25">
        <v>11.92</v>
      </c>
      <c r="EW25">
        <v>0.82</v>
      </c>
      <c r="EX25">
        <v>0</v>
      </c>
      <c r="EY25">
        <v>0</v>
      </c>
      <c r="FQ25">
        <v>0</v>
      </c>
      <c r="FR25">
        <f>ROUND(IF(BI25=3,GM25,0),2)</f>
        <v>0</v>
      </c>
      <c r="FS25">
        <v>0</v>
      </c>
      <c r="FX25">
        <v>80</v>
      </c>
      <c r="FY25">
        <v>55</v>
      </c>
      <c r="GA25" t="s">
        <v>3</v>
      </c>
      <c r="GD25">
        <v>0</v>
      </c>
      <c r="GF25">
        <v>1592374449</v>
      </c>
      <c r="GG25">
        <v>2</v>
      </c>
      <c r="GH25">
        <v>1</v>
      </c>
      <c r="GI25">
        <v>2</v>
      </c>
      <c r="GJ25">
        <v>0</v>
      </c>
      <c r="GK25">
        <f>ROUND(R25*(R12)/100,2)</f>
        <v>276.62</v>
      </c>
      <c r="GL25">
        <f>ROUND(IF(AND(BH25=3,BI25=3,FS25&lt;&gt;0),P25,0),2)</f>
        <v>0</v>
      </c>
      <c r="GM25">
        <f>ROUND(O25+X25+Y25+GK25,2)+GX25</f>
        <v>9271.93</v>
      </c>
      <c r="GN25">
        <f>IF(OR(BI25=0,BI25=1),GM25-GX25,0)</f>
        <v>0</v>
      </c>
      <c r="GO25">
        <f>IF(BI25=2,GM25-GX25,0)</f>
        <v>0</v>
      </c>
      <c r="GP25">
        <f>IF(BI25=4,GM25-GX25,0)</f>
        <v>9271.93</v>
      </c>
      <c r="GR25">
        <v>0</v>
      </c>
      <c r="GS25">
        <v>3</v>
      </c>
      <c r="GT25">
        <v>0</v>
      </c>
      <c r="GU25" t="s">
        <v>3</v>
      </c>
      <c r="GV25">
        <f>ROUND((GT25),6)</f>
        <v>0</v>
      </c>
      <c r="GW25">
        <v>1</v>
      </c>
      <c r="GX25">
        <f>ROUND(HC25*I25,2)</f>
        <v>0</v>
      </c>
      <c r="HA25">
        <v>0</v>
      </c>
      <c r="HB25">
        <v>0</v>
      </c>
      <c r="HC25">
        <f>GV25*GW25</f>
        <v>0</v>
      </c>
      <c r="HE25" t="s">
        <v>3</v>
      </c>
      <c r="HF25" t="s">
        <v>3</v>
      </c>
      <c r="HM25" t="s">
        <v>3</v>
      </c>
      <c r="HN25" t="s">
        <v>3</v>
      </c>
      <c r="HO25" t="s">
        <v>3</v>
      </c>
      <c r="HP25" t="s">
        <v>3</v>
      </c>
      <c r="HQ25" t="s">
        <v>3</v>
      </c>
      <c r="IK25">
        <v>0</v>
      </c>
    </row>
    <row r="26" spans="1:245" x14ac:dyDescent="0.2">
      <c r="A26">
        <v>17</v>
      </c>
      <c r="B26">
        <v>1</v>
      </c>
      <c r="C26">
        <f>ROW(SmtRes!A13)</f>
        <v>13</v>
      </c>
      <c r="D26">
        <f>ROW(EtalonRes!A13)</f>
        <v>13</v>
      </c>
      <c r="E26" t="s">
        <v>27</v>
      </c>
      <c r="F26" t="s">
        <v>28</v>
      </c>
      <c r="G26" t="s">
        <v>29</v>
      </c>
      <c r="H26" t="s">
        <v>17</v>
      </c>
      <c r="I26">
        <v>9</v>
      </c>
      <c r="J26">
        <v>0</v>
      </c>
      <c r="K26">
        <v>9</v>
      </c>
      <c r="O26">
        <f>ROUND(CP26,2)</f>
        <v>5293.89</v>
      </c>
      <c r="P26">
        <f>ROUND((ROUND((AC26*AW26*I26),2)*BC26),2)</f>
        <v>26.55</v>
      </c>
      <c r="Q26">
        <f>(ROUND((ROUND(((ET26)*AV26*I26),2)*BB26),2)+ROUND((ROUND(((AE26-(EU26))*AV26*I26),2)*BS26),2))</f>
        <v>339.97</v>
      </c>
      <c r="R26">
        <f>ROUND((ROUND((AE26*AV26*I26),2)*BS26),2)</f>
        <v>217.84</v>
      </c>
      <c r="S26">
        <f>ROUND((ROUND((AF26*AV26*I26),2)*BA26),2)</f>
        <v>4927.37</v>
      </c>
      <c r="T26">
        <f>ROUND(CU26*I26,2)</f>
        <v>0</v>
      </c>
      <c r="U26">
        <f>CV26*I26</f>
        <v>8.82</v>
      </c>
      <c r="V26">
        <f>CW26*I26</f>
        <v>0</v>
      </c>
      <c r="W26">
        <f>ROUND(CX26*I26,2)</f>
        <v>0</v>
      </c>
      <c r="X26">
        <f t="shared" si="14"/>
        <v>3449.16</v>
      </c>
      <c r="Y26">
        <f t="shared" si="14"/>
        <v>2020.22</v>
      </c>
      <c r="AA26">
        <v>91035980</v>
      </c>
      <c r="AB26">
        <f>ROUND((AC26+AD26+AF26),6)</f>
        <v>16.5</v>
      </c>
      <c r="AC26">
        <f>ROUND((ES26),6)</f>
        <v>0.05</v>
      </c>
      <c r="AD26">
        <f>ROUND((((ET26)-(EU26))+AE26),6)</f>
        <v>2.2000000000000002</v>
      </c>
      <c r="AE26">
        <f t="shared" si="15"/>
        <v>0.63</v>
      </c>
      <c r="AF26">
        <f t="shared" si="15"/>
        <v>14.25</v>
      </c>
      <c r="AG26">
        <f>ROUND((AP26),6)</f>
        <v>0</v>
      </c>
      <c r="AH26">
        <f t="shared" si="16"/>
        <v>0.98</v>
      </c>
      <c r="AI26">
        <f t="shared" si="16"/>
        <v>0</v>
      </c>
      <c r="AJ26">
        <f>(AS26)</f>
        <v>0</v>
      </c>
      <c r="AK26">
        <v>16.5</v>
      </c>
      <c r="AL26">
        <v>0.05</v>
      </c>
      <c r="AM26">
        <v>2.2000000000000002</v>
      </c>
      <c r="AN26">
        <v>0.63</v>
      </c>
      <c r="AO26">
        <v>14.25</v>
      </c>
      <c r="AP26">
        <v>0</v>
      </c>
      <c r="AQ26">
        <v>0.98</v>
      </c>
      <c r="AR26">
        <v>0</v>
      </c>
      <c r="AS26">
        <v>0</v>
      </c>
      <c r="AT26">
        <v>70</v>
      </c>
      <c r="AU26">
        <v>41</v>
      </c>
      <c r="AV26">
        <v>1</v>
      </c>
      <c r="AW26">
        <v>1</v>
      </c>
      <c r="AZ26">
        <v>1</v>
      </c>
      <c r="BA26">
        <v>38.42</v>
      </c>
      <c r="BB26">
        <v>17.170000000000002</v>
      </c>
      <c r="BC26">
        <v>59</v>
      </c>
      <c r="BD26" t="s">
        <v>3</v>
      </c>
      <c r="BE26" t="s">
        <v>3</v>
      </c>
      <c r="BF26" t="s">
        <v>3</v>
      </c>
      <c r="BG26" t="s">
        <v>3</v>
      </c>
      <c r="BH26">
        <v>0</v>
      </c>
      <c r="BI26">
        <v>4</v>
      </c>
      <c r="BJ26" t="s">
        <v>30</v>
      </c>
      <c r="BM26">
        <v>894</v>
      </c>
      <c r="BN26">
        <v>0</v>
      </c>
      <c r="BO26" t="s">
        <v>28</v>
      </c>
      <c r="BP26">
        <v>1</v>
      </c>
      <c r="BQ26">
        <v>140</v>
      </c>
      <c r="BR26">
        <v>0</v>
      </c>
      <c r="BS26">
        <v>38.42</v>
      </c>
      <c r="BT26">
        <v>1</v>
      </c>
      <c r="BU26">
        <v>1</v>
      </c>
      <c r="BV26">
        <v>1</v>
      </c>
      <c r="BW26">
        <v>1</v>
      </c>
      <c r="BX26">
        <v>1</v>
      </c>
      <c r="BY26" t="s">
        <v>3</v>
      </c>
      <c r="BZ26">
        <v>70</v>
      </c>
      <c r="CA26">
        <v>41</v>
      </c>
      <c r="CB26" t="s">
        <v>3</v>
      </c>
      <c r="CE26">
        <v>30</v>
      </c>
      <c r="CF26">
        <v>0</v>
      </c>
      <c r="CG26">
        <v>0</v>
      </c>
      <c r="CM26">
        <v>0</v>
      </c>
      <c r="CN26" t="s">
        <v>3</v>
      </c>
      <c r="CO26">
        <v>0</v>
      </c>
      <c r="CP26">
        <f>(P26+Q26+S26)</f>
        <v>5293.89</v>
      </c>
      <c r="CQ26">
        <f>ROUND((ROUND((AC26*AW26*1),2)*BC26),2)</f>
        <v>2.95</v>
      </c>
      <c r="CR26">
        <f>(ROUND((ROUND(((ET26)*AV26*1),2)*BB26),2)+ROUND((ROUND(((AE26-(EU26))*AV26*1),2)*BS26),2))</f>
        <v>37.770000000000003</v>
      </c>
      <c r="CS26">
        <f>ROUND((ROUND((AE26*AV26*1),2)*BS26),2)</f>
        <v>24.2</v>
      </c>
      <c r="CT26">
        <f>ROUND((ROUND((AF26*AV26*1),2)*BA26),2)</f>
        <v>547.49</v>
      </c>
      <c r="CU26">
        <f>AG26</f>
        <v>0</v>
      </c>
      <c r="CV26">
        <f>(AH26*AV26)</f>
        <v>0.98</v>
      </c>
      <c r="CW26">
        <f t="shared" si="17"/>
        <v>0</v>
      </c>
      <c r="CX26">
        <f t="shared" si="17"/>
        <v>0</v>
      </c>
      <c r="CY26">
        <f>S26*(BZ26/100)</f>
        <v>3449.1589999999997</v>
      </c>
      <c r="CZ26">
        <f>S26*(CA26/100)</f>
        <v>2020.2216999999998</v>
      </c>
      <c r="DC26" t="s">
        <v>3</v>
      </c>
      <c r="DD26" t="s">
        <v>3</v>
      </c>
      <c r="DE26" t="s">
        <v>3</v>
      </c>
      <c r="DF26" t="s">
        <v>3</v>
      </c>
      <c r="DG26" t="s">
        <v>3</v>
      </c>
      <c r="DH26" t="s">
        <v>3</v>
      </c>
      <c r="DI26" t="s">
        <v>3</v>
      </c>
      <c r="DJ26" t="s">
        <v>3</v>
      </c>
      <c r="DK26" t="s">
        <v>3</v>
      </c>
      <c r="DL26" t="s">
        <v>3</v>
      </c>
      <c r="DM26" t="s">
        <v>3</v>
      </c>
      <c r="DN26">
        <v>80</v>
      </c>
      <c r="DO26">
        <v>55</v>
      </c>
      <c r="DP26">
        <v>1</v>
      </c>
      <c r="DQ26">
        <v>1</v>
      </c>
      <c r="DU26">
        <v>1013</v>
      </c>
      <c r="DV26" t="s">
        <v>17</v>
      </c>
      <c r="DW26" t="s">
        <v>17</v>
      </c>
      <c r="DX26">
        <v>1</v>
      </c>
      <c r="DZ26" t="s">
        <v>3</v>
      </c>
      <c r="EA26" t="s">
        <v>3</v>
      </c>
      <c r="EB26" t="s">
        <v>3</v>
      </c>
      <c r="EC26" t="s">
        <v>3</v>
      </c>
      <c r="EE26">
        <v>89100745</v>
      </c>
      <c r="EF26">
        <v>140</v>
      </c>
      <c r="EG26" t="s">
        <v>19</v>
      </c>
      <c r="EH26">
        <v>0</v>
      </c>
      <c r="EI26" t="s">
        <v>3</v>
      </c>
      <c r="EJ26">
        <v>4</v>
      </c>
      <c r="EK26">
        <v>894</v>
      </c>
      <c r="EL26" t="s">
        <v>31</v>
      </c>
      <c r="EM26" t="s">
        <v>32</v>
      </c>
      <c r="EO26" t="s">
        <v>3</v>
      </c>
      <c r="EQ26">
        <v>0</v>
      </c>
      <c r="ER26">
        <v>16.5</v>
      </c>
      <c r="ES26">
        <v>0.05</v>
      </c>
      <c r="ET26">
        <v>2.2000000000000002</v>
      </c>
      <c r="EU26">
        <v>0.63</v>
      </c>
      <c r="EV26">
        <v>14.25</v>
      </c>
      <c r="EW26">
        <v>0.98</v>
      </c>
      <c r="EX26">
        <v>0</v>
      </c>
      <c r="EY26">
        <v>0</v>
      </c>
      <c r="FQ26">
        <v>0</v>
      </c>
      <c r="FR26">
        <f>ROUND(IF(BI26=3,GM26,0),2)</f>
        <v>0</v>
      </c>
      <c r="FS26">
        <v>0</v>
      </c>
      <c r="FX26">
        <v>80</v>
      </c>
      <c r="FY26">
        <v>55</v>
      </c>
      <c r="GA26" t="s">
        <v>3</v>
      </c>
      <c r="GD26">
        <v>0</v>
      </c>
      <c r="GF26">
        <v>749633621</v>
      </c>
      <c r="GG26">
        <v>2</v>
      </c>
      <c r="GH26">
        <v>1</v>
      </c>
      <c r="GI26">
        <v>2</v>
      </c>
      <c r="GJ26">
        <v>0</v>
      </c>
      <c r="GK26">
        <f>ROUND(R26*(R12)/100,2)</f>
        <v>348.54</v>
      </c>
      <c r="GL26">
        <f>ROUND(IF(AND(BH26=3,BI26=3,FS26&lt;&gt;0),P26,0),2)</f>
        <v>0</v>
      </c>
      <c r="GM26">
        <f>ROUND(O26+X26+Y26+GK26,2)+GX26</f>
        <v>11111.81</v>
      </c>
      <c r="GN26">
        <f>IF(OR(BI26=0,BI26=1),GM26-GX26,0)</f>
        <v>0</v>
      </c>
      <c r="GO26">
        <f>IF(BI26=2,GM26-GX26,0)</f>
        <v>0</v>
      </c>
      <c r="GP26">
        <f>IF(BI26=4,GM26-GX26,0)</f>
        <v>11111.81</v>
      </c>
      <c r="GR26">
        <v>0</v>
      </c>
      <c r="GS26">
        <v>3</v>
      </c>
      <c r="GT26">
        <v>0</v>
      </c>
      <c r="GU26" t="s">
        <v>3</v>
      </c>
      <c r="GV26">
        <f>ROUND((GT26),6)</f>
        <v>0</v>
      </c>
      <c r="GW26">
        <v>1</v>
      </c>
      <c r="GX26">
        <f>ROUND(HC26*I26,2)</f>
        <v>0</v>
      </c>
      <c r="HA26">
        <v>0</v>
      </c>
      <c r="HB26">
        <v>0</v>
      </c>
      <c r="HC26">
        <f>GV26*GW26</f>
        <v>0</v>
      </c>
      <c r="HE26" t="s">
        <v>3</v>
      </c>
      <c r="HF26" t="s">
        <v>3</v>
      </c>
      <c r="HM26" t="s">
        <v>3</v>
      </c>
      <c r="HN26" t="s">
        <v>3</v>
      </c>
      <c r="HO26" t="s">
        <v>3</v>
      </c>
      <c r="HP26" t="s">
        <v>3</v>
      </c>
      <c r="HQ26" t="s">
        <v>3</v>
      </c>
      <c r="IK26">
        <v>0</v>
      </c>
    </row>
    <row r="28" spans="1:245" x14ac:dyDescent="0.2">
      <c r="A28" s="2">
        <v>51</v>
      </c>
      <c r="B28" s="2">
        <f>B20</f>
        <v>1</v>
      </c>
      <c r="C28" s="2">
        <f>A20</f>
        <v>3</v>
      </c>
      <c r="D28" s="2">
        <f>ROW(A20)</f>
        <v>20</v>
      </c>
      <c r="E28" s="2"/>
      <c r="F28" s="2" t="str">
        <f>IF(F20&lt;&gt;"",F20,"")</f>
        <v>02-01-01</v>
      </c>
      <c r="G28" s="2" t="str">
        <f>IF(G20&lt;&gt;"",G20,"")</f>
        <v>№272-26.12.24 Р ТСН Смета на обслуживание шлагбаумов (Вячеслав Козлов)</v>
      </c>
      <c r="H28" s="2">
        <v>0</v>
      </c>
      <c r="I28" s="2"/>
      <c r="J28" s="2"/>
      <c r="K28" s="2"/>
      <c r="L28" s="2"/>
      <c r="M28" s="2"/>
      <c r="N28" s="2"/>
      <c r="O28" s="2">
        <f t="shared" ref="O28:T28" si="18">ROUND(AB28,2)</f>
        <v>73207.64</v>
      </c>
      <c r="P28" s="2">
        <f t="shared" si="18"/>
        <v>531.67999999999995</v>
      </c>
      <c r="Q28" s="2">
        <f t="shared" si="18"/>
        <v>611.94000000000005</v>
      </c>
      <c r="R28" s="2">
        <f t="shared" si="18"/>
        <v>390.73</v>
      </c>
      <c r="S28" s="2">
        <f t="shared" si="18"/>
        <v>72064.02</v>
      </c>
      <c r="T28" s="2">
        <f t="shared" si="18"/>
        <v>0</v>
      </c>
      <c r="U28" s="2">
        <f>AH28</f>
        <v>146.16</v>
      </c>
      <c r="V28" s="2">
        <f>AI28</f>
        <v>0</v>
      </c>
      <c r="W28" s="2">
        <f>ROUND(AJ28,2)</f>
        <v>0</v>
      </c>
      <c r="X28" s="2">
        <f>ROUND(AK28,2)</f>
        <v>50444.82</v>
      </c>
      <c r="Y28" s="2">
        <f>ROUND(AL28,2)</f>
        <v>29546.25</v>
      </c>
      <c r="Z28" s="2"/>
      <c r="AA28" s="2"/>
      <c r="AB28" s="2">
        <f>ROUND(SUMIF(AA24:AA26,"=91035980",O24:O26),2)</f>
        <v>73207.64</v>
      </c>
      <c r="AC28" s="2">
        <f>ROUND(SUMIF(AA24:AA26,"=91035980",P24:P26),2)</f>
        <v>531.67999999999995</v>
      </c>
      <c r="AD28" s="2">
        <f>ROUND(SUMIF(AA24:AA26,"=91035980",Q24:Q26),2)</f>
        <v>611.94000000000005</v>
      </c>
      <c r="AE28" s="2">
        <f>ROUND(SUMIF(AA24:AA26,"=91035980",R24:R26),2)</f>
        <v>390.73</v>
      </c>
      <c r="AF28" s="2">
        <f>ROUND(SUMIF(AA24:AA26,"=91035980",S24:S26),2)</f>
        <v>72064.02</v>
      </c>
      <c r="AG28" s="2">
        <f>ROUND(SUMIF(AA24:AA26,"=91035980",T24:T26),2)</f>
        <v>0</v>
      </c>
      <c r="AH28" s="2">
        <f>SUMIF(AA24:AA26,"=91035980",U24:U26)</f>
        <v>146.16</v>
      </c>
      <c r="AI28" s="2">
        <f>SUMIF(AA24:AA26,"=91035980",V24:V26)</f>
        <v>0</v>
      </c>
      <c r="AJ28" s="2">
        <f>ROUND(SUMIF(AA24:AA26,"=91035980",W24:W26),2)</f>
        <v>0</v>
      </c>
      <c r="AK28" s="2">
        <f>ROUND(SUMIF(AA24:AA26,"=91035980",X24:X26),2)</f>
        <v>50444.82</v>
      </c>
      <c r="AL28" s="2">
        <f>ROUND(SUMIF(AA24:AA26,"=91035980",Y24:Y26),2)</f>
        <v>29546.25</v>
      </c>
      <c r="AM28" s="2"/>
      <c r="AN28" s="2"/>
      <c r="AO28" s="2">
        <f t="shared" ref="AO28:BD28" si="19">ROUND(BX28,2)</f>
        <v>0</v>
      </c>
      <c r="AP28" s="2">
        <f t="shared" si="19"/>
        <v>0</v>
      </c>
      <c r="AQ28" s="2">
        <f t="shared" si="19"/>
        <v>0</v>
      </c>
      <c r="AR28" s="2">
        <f t="shared" si="19"/>
        <v>153823.87</v>
      </c>
      <c r="AS28" s="2">
        <f t="shared" si="19"/>
        <v>0</v>
      </c>
      <c r="AT28" s="2">
        <f t="shared" si="19"/>
        <v>0</v>
      </c>
      <c r="AU28" s="2">
        <f t="shared" si="19"/>
        <v>153823.87</v>
      </c>
      <c r="AV28" s="2">
        <f t="shared" si="19"/>
        <v>531.67999999999995</v>
      </c>
      <c r="AW28" s="2">
        <f t="shared" si="19"/>
        <v>531.67999999999995</v>
      </c>
      <c r="AX28" s="2">
        <f t="shared" si="19"/>
        <v>0</v>
      </c>
      <c r="AY28" s="2">
        <f t="shared" si="19"/>
        <v>531.67999999999995</v>
      </c>
      <c r="AZ28" s="2">
        <f t="shared" si="19"/>
        <v>0</v>
      </c>
      <c r="BA28" s="2">
        <f t="shared" si="19"/>
        <v>0</v>
      </c>
      <c r="BB28" s="2">
        <f t="shared" si="19"/>
        <v>0</v>
      </c>
      <c r="BC28" s="2">
        <f t="shared" si="19"/>
        <v>0</v>
      </c>
      <c r="BD28" s="2">
        <f t="shared" si="19"/>
        <v>0</v>
      </c>
      <c r="BE28" s="2"/>
      <c r="BF28" s="2"/>
      <c r="BG28" s="2"/>
      <c r="BH28" s="2"/>
      <c r="BI28" s="2"/>
      <c r="BJ28" s="2"/>
      <c r="BK28" s="2"/>
      <c r="BL28" s="2"/>
      <c r="BM28" s="2"/>
      <c r="BN28" s="2"/>
      <c r="BO28" s="2"/>
      <c r="BP28" s="2"/>
      <c r="BQ28" s="2"/>
      <c r="BR28" s="2"/>
      <c r="BS28" s="2"/>
      <c r="BT28" s="2"/>
      <c r="BU28" s="2"/>
      <c r="BV28" s="2"/>
      <c r="BW28" s="2"/>
      <c r="BX28" s="2">
        <f>ROUND(SUMIF(AA24:AA26,"=91035980",FQ24:FQ26),2)</f>
        <v>0</v>
      </c>
      <c r="BY28" s="2">
        <f>ROUND(SUMIF(AA24:AA26,"=91035980",FR24:FR26),2)</f>
        <v>0</v>
      </c>
      <c r="BZ28" s="2">
        <f>ROUND(SUMIF(AA24:AA26,"=91035980",GL24:GL26),2)</f>
        <v>0</v>
      </c>
      <c r="CA28" s="2">
        <f>ROUND(SUMIF(AA24:AA26,"=91035980",GM24:GM26),2)</f>
        <v>153823.87</v>
      </c>
      <c r="CB28" s="2">
        <f>ROUND(SUMIF(AA24:AA26,"=91035980",GN24:GN26),2)</f>
        <v>0</v>
      </c>
      <c r="CC28" s="2">
        <f>ROUND(SUMIF(AA24:AA26,"=91035980",GO24:GO26),2)</f>
        <v>0</v>
      </c>
      <c r="CD28" s="2">
        <f>ROUND(SUMIF(AA24:AA26,"=91035980",GP24:GP26),2)</f>
        <v>153823.87</v>
      </c>
      <c r="CE28" s="2">
        <f>AC28-BX28</f>
        <v>531.67999999999995</v>
      </c>
      <c r="CF28" s="2">
        <f>AC28-BY28</f>
        <v>531.67999999999995</v>
      </c>
      <c r="CG28" s="2">
        <f>BX28-BZ28</f>
        <v>0</v>
      </c>
      <c r="CH28" s="2">
        <f>AC28-BX28-BY28+BZ28</f>
        <v>531.67999999999995</v>
      </c>
      <c r="CI28" s="2">
        <f>BY28-BZ28</f>
        <v>0</v>
      </c>
      <c r="CJ28" s="2">
        <f>ROUND(SUMIF(AA24:AA26,"=91035980",GX24:GX26),2)</f>
        <v>0</v>
      </c>
      <c r="CK28" s="2">
        <f>ROUND(SUMIF(AA24:AA26,"=91035980",GY24:GY26),2)</f>
        <v>0</v>
      </c>
      <c r="CL28" s="2">
        <f>ROUND(SUMIF(AA24:AA26,"=91035980",GZ24:GZ26),2)</f>
        <v>0</v>
      </c>
      <c r="CM28" s="2">
        <f>ROUND(SUMIF(AA24:AA26,"=91035980",HD24:HD26),2)</f>
        <v>0</v>
      </c>
      <c r="CN28" s="2"/>
      <c r="CO28" s="2"/>
      <c r="CP28" s="2"/>
      <c r="CQ28" s="2"/>
      <c r="CR28" s="2"/>
      <c r="CS28" s="2"/>
      <c r="CT28" s="2"/>
      <c r="CU28" s="2"/>
      <c r="CV28" s="2"/>
      <c r="CW28" s="2"/>
      <c r="CX28" s="2"/>
      <c r="CY28" s="2"/>
      <c r="CZ28" s="2"/>
      <c r="DA28" s="2"/>
      <c r="DB28" s="2"/>
      <c r="DC28" s="2"/>
      <c r="DD28" s="2"/>
      <c r="DE28" s="2"/>
      <c r="DF28" s="2"/>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v>0</v>
      </c>
    </row>
    <row r="30" spans="1:245" x14ac:dyDescent="0.2">
      <c r="A30" s="4">
        <v>50</v>
      </c>
      <c r="B30" s="4">
        <v>0</v>
      </c>
      <c r="C30" s="4">
        <v>0</v>
      </c>
      <c r="D30" s="4">
        <v>1</v>
      </c>
      <c r="E30" s="4">
        <v>201</v>
      </c>
      <c r="F30" s="4">
        <f>ROUND(Source!O28,O30)</f>
        <v>73207.64</v>
      </c>
      <c r="G30" s="4" t="s">
        <v>33</v>
      </c>
      <c r="H30" s="4" t="s">
        <v>34</v>
      </c>
      <c r="I30" s="4"/>
      <c r="J30" s="4"/>
      <c r="K30" s="4">
        <v>201</v>
      </c>
      <c r="L30" s="4">
        <v>1</v>
      </c>
      <c r="M30" s="4">
        <v>3</v>
      </c>
      <c r="N30" s="4" t="s">
        <v>3</v>
      </c>
      <c r="O30" s="4">
        <v>2</v>
      </c>
      <c r="P30" s="4"/>
      <c r="Q30" s="4"/>
      <c r="R30" s="4"/>
      <c r="S30" s="4"/>
      <c r="T30" s="4"/>
      <c r="U30" s="4"/>
      <c r="V30" s="4"/>
      <c r="W30" s="4">
        <v>73207.64</v>
      </c>
      <c r="X30" s="4">
        <v>1</v>
      </c>
      <c r="Y30" s="4">
        <v>73207.64</v>
      </c>
      <c r="Z30" s="4"/>
      <c r="AA30" s="4"/>
      <c r="AB30" s="4"/>
    </row>
    <row r="31" spans="1:245" x14ac:dyDescent="0.2">
      <c r="A31" s="4">
        <v>50</v>
      </c>
      <c r="B31" s="4">
        <v>0</v>
      </c>
      <c r="C31" s="4">
        <v>0</v>
      </c>
      <c r="D31" s="4">
        <v>1</v>
      </c>
      <c r="E31" s="4">
        <v>202</v>
      </c>
      <c r="F31" s="4">
        <f>ROUND(Source!P28,O31)</f>
        <v>531.67999999999995</v>
      </c>
      <c r="G31" s="4" t="s">
        <v>35</v>
      </c>
      <c r="H31" s="4" t="s">
        <v>36</v>
      </c>
      <c r="I31" s="4"/>
      <c r="J31" s="4"/>
      <c r="K31" s="4">
        <v>202</v>
      </c>
      <c r="L31" s="4">
        <v>2</v>
      </c>
      <c r="M31" s="4">
        <v>3</v>
      </c>
      <c r="N31" s="4" t="s">
        <v>3</v>
      </c>
      <c r="O31" s="4">
        <v>2</v>
      </c>
      <c r="P31" s="4"/>
      <c r="Q31" s="4"/>
      <c r="R31" s="4"/>
      <c r="S31" s="4"/>
      <c r="T31" s="4"/>
      <c r="U31" s="4"/>
      <c r="V31" s="4"/>
      <c r="W31" s="4">
        <v>531.67999999999995</v>
      </c>
      <c r="X31" s="4">
        <v>1</v>
      </c>
      <c r="Y31" s="4">
        <v>531.67999999999995</v>
      </c>
      <c r="Z31" s="4"/>
      <c r="AA31" s="4"/>
      <c r="AB31" s="4"/>
    </row>
    <row r="32" spans="1:245" x14ac:dyDescent="0.2">
      <c r="A32" s="4">
        <v>50</v>
      </c>
      <c r="B32" s="4">
        <v>0</v>
      </c>
      <c r="C32" s="4">
        <v>0</v>
      </c>
      <c r="D32" s="4">
        <v>1</v>
      </c>
      <c r="E32" s="4">
        <v>222</v>
      </c>
      <c r="F32" s="4">
        <f>ROUND(Source!AO28,O32)</f>
        <v>0</v>
      </c>
      <c r="G32" s="4" t="s">
        <v>37</v>
      </c>
      <c r="H32" s="4" t="s">
        <v>38</v>
      </c>
      <c r="I32" s="4"/>
      <c r="J32" s="4"/>
      <c r="K32" s="4">
        <v>222</v>
      </c>
      <c r="L32" s="4">
        <v>3</v>
      </c>
      <c r="M32" s="4">
        <v>3</v>
      </c>
      <c r="N32" s="4" t="s">
        <v>3</v>
      </c>
      <c r="O32" s="4">
        <v>2</v>
      </c>
      <c r="P32" s="4"/>
      <c r="Q32" s="4"/>
      <c r="R32" s="4"/>
      <c r="S32" s="4"/>
      <c r="T32" s="4"/>
      <c r="U32" s="4"/>
      <c r="V32" s="4"/>
      <c r="W32" s="4">
        <v>0</v>
      </c>
      <c r="X32" s="4">
        <v>1</v>
      </c>
      <c r="Y32" s="4">
        <v>0</v>
      </c>
      <c r="Z32" s="4"/>
      <c r="AA32" s="4"/>
      <c r="AB32" s="4"/>
    </row>
    <row r="33" spans="1:28" x14ac:dyDescent="0.2">
      <c r="A33" s="4">
        <v>50</v>
      </c>
      <c r="B33" s="4">
        <v>0</v>
      </c>
      <c r="C33" s="4">
        <v>0</v>
      </c>
      <c r="D33" s="4">
        <v>1</v>
      </c>
      <c r="E33" s="4">
        <v>225</v>
      </c>
      <c r="F33" s="4">
        <f>ROUND(Source!AV28,O33)</f>
        <v>531.67999999999995</v>
      </c>
      <c r="G33" s="4" t="s">
        <v>39</v>
      </c>
      <c r="H33" s="4" t="s">
        <v>40</v>
      </c>
      <c r="I33" s="4"/>
      <c r="J33" s="4"/>
      <c r="K33" s="4">
        <v>225</v>
      </c>
      <c r="L33" s="4">
        <v>4</v>
      </c>
      <c r="M33" s="4">
        <v>3</v>
      </c>
      <c r="N33" s="4" t="s">
        <v>3</v>
      </c>
      <c r="O33" s="4">
        <v>2</v>
      </c>
      <c r="P33" s="4"/>
      <c r="Q33" s="4"/>
      <c r="R33" s="4"/>
      <c r="S33" s="4"/>
      <c r="T33" s="4"/>
      <c r="U33" s="4"/>
      <c r="V33" s="4"/>
      <c r="W33" s="4">
        <v>531.67999999999995</v>
      </c>
      <c r="X33" s="4">
        <v>1</v>
      </c>
      <c r="Y33" s="4">
        <v>531.67999999999995</v>
      </c>
      <c r="Z33" s="4"/>
      <c r="AA33" s="4"/>
      <c r="AB33" s="4"/>
    </row>
    <row r="34" spans="1:28" x14ac:dyDescent="0.2">
      <c r="A34" s="4">
        <v>50</v>
      </c>
      <c r="B34" s="4">
        <v>0</v>
      </c>
      <c r="C34" s="4">
        <v>0</v>
      </c>
      <c r="D34" s="4">
        <v>1</v>
      </c>
      <c r="E34" s="4">
        <v>226</v>
      </c>
      <c r="F34" s="4">
        <f>ROUND(Source!AW28,O34)</f>
        <v>531.67999999999995</v>
      </c>
      <c r="G34" s="4" t="s">
        <v>41</v>
      </c>
      <c r="H34" s="4" t="s">
        <v>42</v>
      </c>
      <c r="I34" s="4"/>
      <c r="J34" s="4"/>
      <c r="K34" s="4">
        <v>226</v>
      </c>
      <c r="L34" s="4">
        <v>5</v>
      </c>
      <c r="M34" s="4">
        <v>3</v>
      </c>
      <c r="N34" s="4" t="s">
        <v>3</v>
      </c>
      <c r="O34" s="4">
        <v>2</v>
      </c>
      <c r="P34" s="4"/>
      <c r="Q34" s="4"/>
      <c r="R34" s="4"/>
      <c r="S34" s="4"/>
      <c r="T34" s="4"/>
      <c r="U34" s="4"/>
      <c r="V34" s="4"/>
      <c r="W34" s="4">
        <v>531.67999999999995</v>
      </c>
      <c r="X34" s="4">
        <v>1</v>
      </c>
      <c r="Y34" s="4">
        <v>531.67999999999995</v>
      </c>
      <c r="Z34" s="4"/>
      <c r="AA34" s="4"/>
      <c r="AB34" s="4"/>
    </row>
    <row r="35" spans="1:28" x14ac:dyDescent="0.2">
      <c r="A35" s="4">
        <v>50</v>
      </c>
      <c r="B35" s="4">
        <v>0</v>
      </c>
      <c r="C35" s="4">
        <v>0</v>
      </c>
      <c r="D35" s="4">
        <v>1</v>
      </c>
      <c r="E35" s="4">
        <v>227</v>
      </c>
      <c r="F35" s="4">
        <f>ROUND(Source!AX28,O35)</f>
        <v>0</v>
      </c>
      <c r="G35" s="4" t="s">
        <v>43</v>
      </c>
      <c r="H35" s="4" t="s">
        <v>44</v>
      </c>
      <c r="I35" s="4"/>
      <c r="J35" s="4"/>
      <c r="K35" s="4">
        <v>227</v>
      </c>
      <c r="L35" s="4">
        <v>6</v>
      </c>
      <c r="M35" s="4">
        <v>3</v>
      </c>
      <c r="N35" s="4" t="s">
        <v>3</v>
      </c>
      <c r="O35" s="4">
        <v>2</v>
      </c>
      <c r="P35" s="4"/>
      <c r="Q35" s="4"/>
      <c r="R35" s="4"/>
      <c r="S35" s="4"/>
      <c r="T35" s="4"/>
      <c r="U35" s="4"/>
      <c r="V35" s="4"/>
      <c r="W35" s="4">
        <v>0</v>
      </c>
      <c r="X35" s="4">
        <v>1</v>
      </c>
      <c r="Y35" s="4">
        <v>0</v>
      </c>
      <c r="Z35" s="4"/>
      <c r="AA35" s="4"/>
      <c r="AB35" s="4"/>
    </row>
    <row r="36" spans="1:28" x14ac:dyDescent="0.2">
      <c r="A36" s="4">
        <v>50</v>
      </c>
      <c r="B36" s="4">
        <v>0</v>
      </c>
      <c r="C36" s="4">
        <v>0</v>
      </c>
      <c r="D36" s="4">
        <v>1</v>
      </c>
      <c r="E36" s="4">
        <v>228</v>
      </c>
      <c r="F36" s="4">
        <f>ROUND(Source!AY28,O36)</f>
        <v>531.67999999999995</v>
      </c>
      <c r="G36" s="4" t="s">
        <v>45</v>
      </c>
      <c r="H36" s="4" t="s">
        <v>46</v>
      </c>
      <c r="I36" s="4"/>
      <c r="J36" s="4"/>
      <c r="K36" s="4">
        <v>228</v>
      </c>
      <c r="L36" s="4">
        <v>7</v>
      </c>
      <c r="M36" s="4">
        <v>3</v>
      </c>
      <c r="N36" s="4" t="s">
        <v>3</v>
      </c>
      <c r="O36" s="4">
        <v>2</v>
      </c>
      <c r="P36" s="4"/>
      <c r="Q36" s="4"/>
      <c r="R36" s="4"/>
      <c r="S36" s="4"/>
      <c r="T36" s="4"/>
      <c r="U36" s="4"/>
      <c r="V36" s="4"/>
      <c r="W36" s="4">
        <v>531.67999999999995</v>
      </c>
      <c r="X36" s="4">
        <v>1</v>
      </c>
      <c r="Y36" s="4">
        <v>531.67999999999995</v>
      </c>
      <c r="Z36" s="4"/>
      <c r="AA36" s="4"/>
      <c r="AB36" s="4"/>
    </row>
    <row r="37" spans="1:28" x14ac:dyDescent="0.2">
      <c r="A37" s="4">
        <v>50</v>
      </c>
      <c r="B37" s="4">
        <v>0</v>
      </c>
      <c r="C37" s="4">
        <v>0</v>
      </c>
      <c r="D37" s="4">
        <v>1</v>
      </c>
      <c r="E37" s="4">
        <v>216</v>
      </c>
      <c r="F37" s="4">
        <f>ROUND(Source!AP28,O37)</f>
        <v>0</v>
      </c>
      <c r="G37" s="4" t="s">
        <v>47</v>
      </c>
      <c r="H37" s="4" t="s">
        <v>48</v>
      </c>
      <c r="I37" s="4"/>
      <c r="J37" s="4"/>
      <c r="K37" s="4">
        <v>216</v>
      </c>
      <c r="L37" s="4">
        <v>8</v>
      </c>
      <c r="M37" s="4">
        <v>3</v>
      </c>
      <c r="N37" s="4" t="s">
        <v>3</v>
      </c>
      <c r="O37" s="4">
        <v>2</v>
      </c>
      <c r="P37" s="4"/>
      <c r="Q37" s="4"/>
      <c r="R37" s="4"/>
      <c r="S37" s="4"/>
      <c r="T37" s="4"/>
      <c r="U37" s="4"/>
      <c r="V37" s="4"/>
      <c r="W37" s="4">
        <v>0</v>
      </c>
      <c r="X37" s="4">
        <v>1</v>
      </c>
      <c r="Y37" s="4">
        <v>0</v>
      </c>
      <c r="Z37" s="4"/>
      <c r="AA37" s="4"/>
      <c r="AB37" s="4"/>
    </row>
    <row r="38" spans="1:28" x14ac:dyDescent="0.2">
      <c r="A38" s="4">
        <v>50</v>
      </c>
      <c r="B38" s="4">
        <v>0</v>
      </c>
      <c r="C38" s="4">
        <v>0</v>
      </c>
      <c r="D38" s="4">
        <v>1</v>
      </c>
      <c r="E38" s="4">
        <v>223</v>
      </c>
      <c r="F38" s="4">
        <f>ROUND(Source!AQ28,O38)</f>
        <v>0</v>
      </c>
      <c r="G38" s="4" t="s">
        <v>49</v>
      </c>
      <c r="H38" s="4" t="s">
        <v>50</v>
      </c>
      <c r="I38" s="4"/>
      <c r="J38" s="4"/>
      <c r="K38" s="4">
        <v>223</v>
      </c>
      <c r="L38" s="4">
        <v>9</v>
      </c>
      <c r="M38" s="4">
        <v>3</v>
      </c>
      <c r="N38" s="4" t="s">
        <v>3</v>
      </c>
      <c r="O38" s="4">
        <v>2</v>
      </c>
      <c r="P38" s="4"/>
      <c r="Q38" s="4"/>
      <c r="R38" s="4"/>
      <c r="S38" s="4"/>
      <c r="T38" s="4"/>
      <c r="U38" s="4"/>
      <c r="V38" s="4"/>
      <c r="W38" s="4">
        <v>0</v>
      </c>
      <c r="X38" s="4">
        <v>1</v>
      </c>
      <c r="Y38" s="4">
        <v>0</v>
      </c>
      <c r="Z38" s="4"/>
      <c r="AA38" s="4"/>
      <c r="AB38" s="4"/>
    </row>
    <row r="39" spans="1:28" x14ac:dyDescent="0.2">
      <c r="A39" s="4">
        <v>50</v>
      </c>
      <c r="B39" s="4">
        <v>0</v>
      </c>
      <c r="C39" s="4">
        <v>0</v>
      </c>
      <c r="D39" s="4">
        <v>1</v>
      </c>
      <c r="E39" s="4">
        <v>229</v>
      </c>
      <c r="F39" s="4">
        <f>ROUND(Source!AZ28,O39)</f>
        <v>0</v>
      </c>
      <c r="G39" s="4" t="s">
        <v>51</v>
      </c>
      <c r="H39" s="4" t="s">
        <v>52</v>
      </c>
      <c r="I39" s="4"/>
      <c r="J39" s="4"/>
      <c r="K39" s="4">
        <v>229</v>
      </c>
      <c r="L39" s="4">
        <v>10</v>
      </c>
      <c r="M39" s="4">
        <v>3</v>
      </c>
      <c r="N39" s="4" t="s">
        <v>3</v>
      </c>
      <c r="O39" s="4">
        <v>2</v>
      </c>
      <c r="P39" s="4"/>
      <c r="Q39" s="4"/>
      <c r="R39" s="4"/>
      <c r="S39" s="4"/>
      <c r="T39" s="4"/>
      <c r="U39" s="4"/>
      <c r="V39" s="4"/>
      <c r="W39" s="4">
        <v>0</v>
      </c>
      <c r="X39" s="4">
        <v>1</v>
      </c>
      <c r="Y39" s="4">
        <v>0</v>
      </c>
      <c r="Z39" s="4"/>
      <c r="AA39" s="4"/>
      <c r="AB39" s="4"/>
    </row>
    <row r="40" spans="1:28" x14ac:dyDescent="0.2">
      <c r="A40" s="4">
        <v>50</v>
      </c>
      <c r="B40" s="4">
        <v>0</v>
      </c>
      <c r="C40" s="4">
        <v>0</v>
      </c>
      <c r="D40" s="4">
        <v>1</v>
      </c>
      <c r="E40" s="4">
        <v>203</v>
      </c>
      <c r="F40" s="4">
        <f>ROUND(Source!Q28,O40)</f>
        <v>611.94000000000005</v>
      </c>
      <c r="G40" s="4" t="s">
        <v>53</v>
      </c>
      <c r="H40" s="4" t="s">
        <v>54</v>
      </c>
      <c r="I40" s="4"/>
      <c r="J40" s="4"/>
      <c r="K40" s="4">
        <v>203</v>
      </c>
      <c r="L40" s="4">
        <v>11</v>
      </c>
      <c r="M40" s="4">
        <v>3</v>
      </c>
      <c r="N40" s="4" t="s">
        <v>3</v>
      </c>
      <c r="O40" s="4">
        <v>2</v>
      </c>
      <c r="P40" s="4"/>
      <c r="Q40" s="4"/>
      <c r="R40" s="4"/>
      <c r="S40" s="4"/>
      <c r="T40" s="4"/>
      <c r="U40" s="4"/>
      <c r="V40" s="4"/>
      <c r="W40" s="4">
        <v>611.94000000000005</v>
      </c>
      <c r="X40" s="4">
        <v>1</v>
      </c>
      <c r="Y40" s="4">
        <v>611.94000000000005</v>
      </c>
      <c r="Z40" s="4"/>
      <c r="AA40" s="4"/>
      <c r="AB40" s="4"/>
    </row>
    <row r="41" spans="1:28" x14ac:dyDescent="0.2">
      <c r="A41" s="4">
        <v>50</v>
      </c>
      <c r="B41" s="4">
        <v>0</v>
      </c>
      <c r="C41" s="4">
        <v>0</v>
      </c>
      <c r="D41" s="4">
        <v>1</v>
      </c>
      <c r="E41" s="4">
        <v>231</v>
      </c>
      <c r="F41" s="4">
        <f>ROUND(Source!BB28,O41)</f>
        <v>0</v>
      </c>
      <c r="G41" s="4" t="s">
        <v>55</v>
      </c>
      <c r="H41" s="4" t="s">
        <v>56</v>
      </c>
      <c r="I41" s="4"/>
      <c r="J41" s="4"/>
      <c r="K41" s="4">
        <v>231</v>
      </c>
      <c r="L41" s="4">
        <v>12</v>
      </c>
      <c r="M41" s="4">
        <v>3</v>
      </c>
      <c r="N41" s="4" t="s">
        <v>3</v>
      </c>
      <c r="O41" s="4">
        <v>2</v>
      </c>
      <c r="P41" s="4"/>
      <c r="Q41" s="4"/>
      <c r="R41" s="4"/>
      <c r="S41" s="4"/>
      <c r="T41" s="4"/>
      <c r="U41" s="4"/>
      <c r="V41" s="4"/>
      <c r="W41" s="4">
        <v>0</v>
      </c>
      <c r="X41" s="4">
        <v>1</v>
      </c>
      <c r="Y41" s="4">
        <v>0</v>
      </c>
      <c r="Z41" s="4"/>
      <c r="AA41" s="4"/>
      <c r="AB41" s="4"/>
    </row>
    <row r="42" spans="1:28" x14ac:dyDescent="0.2">
      <c r="A42" s="4">
        <v>50</v>
      </c>
      <c r="B42" s="4">
        <v>0</v>
      </c>
      <c r="C42" s="4">
        <v>0</v>
      </c>
      <c r="D42" s="4">
        <v>1</v>
      </c>
      <c r="E42" s="4">
        <v>204</v>
      </c>
      <c r="F42" s="4">
        <f>ROUND(Source!R28,O42)</f>
        <v>390.73</v>
      </c>
      <c r="G42" s="4" t="s">
        <v>57</v>
      </c>
      <c r="H42" s="4" t="s">
        <v>58</v>
      </c>
      <c r="I42" s="4"/>
      <c r="J42" s="4"/>
      <c r="K42" s="4">
        <v>204</v>
      </c>
      <c r="L42" s="4">
        <v>13</v>
      </c>
      <c r="M42" s="4">
        <v>3</v>
      </c>
      <c r="N42" s="4" t="s">
        <v>3</v>
      </c>
      <c r="O42" s="4">
        <v>2</v>
      </c>
      <c r="P42" s="4"/>
      <c r="Q42" s="4"/>
      <c r="R42" s="4"/>
      <c r="S42" s="4"/>
      <c r="T42" s="4"/>
      <c r="U42" s="4"/>
      <c r="V42" s="4"/>
      <c r="W42" s="4">
        <v>390.73</v>
      </c>
      <c r="X42" s="4">
        <v>1</v>
      </c>
      <c r="Y42" s="4">
        <v>390.73</v>
      </c>
      <c r="Z42" s="4"/>
      <c r="AA42" s="4"/>
      <c r="AB42" s="4"/>
    </row>
    <row r="43" spans="1:28" x14ac:dyDescent="0.2">
      <c r="A43" s="4">
        <v>50</v>
      </c>
      <c r="B43" s="4">
        <v>0</v>
      </c>
      <c r="C43" s="4">
        <v>0</v>
      </c>
      <c r="D43" s="4">
        <v>1</v>
      </c>
      <c r="E43" s="4">
        <v>205</v>
      </c>
      <c r="F43" s="4">
        <f>ROUND(Source!S28,O43)</f>
        <v>72064.02</v>
      </c>
      <c r="G43" s="4" t="s">
        <v>59</v>
      </c>
      <c r="H43" s="4" t="s">
        <v>60</v>
      </c>
      <c r="I43" s="4"/>
      <c r="J43" s="4"/>
      <c r="K43" s="4">
        <v>205</v>
      </c>
      <c r="L43" s="4">
        <v>14</v>
      </c>
      <c r="M43" s="4">
        <v>3</v>
      </c>
      <c r="N43" s="4" t="s">
        <v>3</v>
      </c>
      <c r="O43" s="4">
        <v>2</v>
      </c>
      <c r="P43" s="4"/>
      <c r="Q43" s="4"/>
      <c r="R43" s="4"/>
      <c r="S43" s="4"/>
      <c r="T43" s="4"/>
      <c r="U43" s="4"/>
      <c r="V43" s="4"/>
      <c r="W43" s="4">
        <v>72064.02</v>
      </c>
      <c r="X43" s="4">
        <v>1</v>
      </c>
      <c r="Y43" s="4">
        <v>72064.02</v>
      </c>
      <c r="Z43" s="4"/>
      <c r="AA43" s="4"/>
      <c r="AB43" s="4"/>
    </row>
    <row r="44" spans="1:28" x14ac:dyDescent="0.2">
      <c r="A44" s="4">
        <v>50</v>
      </c>
      <c r="B44" s="4">
        <v>0</v>
      </c>
      <c r="C44" s="4">
        <v>0</v>
      </c>
      <c r="D44" s="4">
        <v>1</v>
      </c>
      <c r="E44" s="4">
        <v>232</v>
      </c>
      <c r="F44" s="4">
        <f>ROUND(Source!BC28,O44)</f>
        <v>0</v>
      </c>
      <c r="G44" s="4" t="s">
        <v>61</v>
      </c>
      <c r="H44" s="4" t="s">
        <v>62</v>
      </c>
      <c r="I44" s="4"/>
      <c r="J44" s="4"/>
      <c r="K44" s="4">
        <v>232</v>
      </c>
      <c r="L44" s="4">
        <v>15</v>
      </c>
      <c r="M44" s="4">
        <v>3</v>
      </c>
      <c r="N44" s="4" t="s">
        <v>3</v>
      </c>
      <c r="O44" s="4">
        <v>2</v>
      </c>
      <c r="P44" s="4"/>
      <c r="Q44" s="4"/>
      <c r="R44" s="4"/>
      <c r="S44" s="4"/>
      <c r="T44" s="4"/>
      <c r="U44" s="4"/>
      <c r="V44" s="4"/>
      <c r="W44" s="4">
        <v>0</v>
      </c>
      <c r="X44" s="4">
        <v>1</v>
      </c>
      <c r="Y44" s="4">
        <v>0</v>
      </c>
      <c r="Z44" s="4"/>
      <c r="AA44" s="4"/>
      <c r="AB44" s="4"/>
    </row>
    <row r="45" spans="1:28" x14ac:dyDescent="0.2">
      <c r="A45" s="4">
        <v>50</v>
      </c>
      <c r="B45" s="4">
        <v>0</v>
      </c>
      <c r="C45" s="4">
        <v>0</v>
      </c>
      <c r="D45" s="4">
        <v>1</v>
      </c>
      <c r="E45" s="4">
        <v>214</v>
      </c>
      <c r="F45" s="4">
        <f>ROUND(Source!AS28,O45)</f>
        <v>0</v>
      </c>
      <c r="G45" s="4" t="s">
        <v>63</v>
      </c>
      <c r="H45" s="4" t="s">
        <v>64</v>
      </c>
      <c r="I45" s="4"/>
      <c r="J45" s="4"/>
      <c r="K45" s="4">
        <v>214</v>
      </c>
      <c r="L45" s="4">
        <v>16</v>
      </c>
      <c r="M45" s="4">
        <v>3</v>
      </c>
      <c r="N45" s="4" t="s">
        <v>3</v>
      </c>
      <c r="O45" s="4">
        <v>2</v>
      </c>
      <c r="P45" s="4"/>
      <c r="Q45" s="4"/>
      <c r="R45" s="4"/>
      <c r="S45" s="4"/>
      <c r="T45" s="4"/>
      <c r="U45" s="4"/>
      <c r="V45" s="4"/>
      <c r="W45" s="4">
        <v>0</v>
      </c>
      <c r="X45" s="4">
        <v>1</v>
      </c>
      <c r="Y45" s="4">
        <v>0</v>
      </c>
      <c r="Z45" s="4"/>
      <c r="AA45" s="4"/>
      <c r="AB45" s="4"/>
    </row>
    <row r="46" spans="1:28" x14ac:dyDescent="0.2">
      <c r="A46" s="4">
        <v>50</v>
      </c>
      <c r="B46" s="4">
        <v>0</v>
      </c>
      <c r="C46" s="4">
        <v>0</v>
      </c>
      <c r="D46" s="4">
        <v>1</v>
      </c>
      <c r="E46" s="4">
        <v>215</v>
      </c>
      <c r="F46" s="4">
        <f>ROUND(Source!AT28,O46)</f>
        <v>0</v>
      </c>
      <c r="G46" s="4" t="s">
        <v>65</v>
      </c>
      <c r="H46" s="4" t="s">
        <v>66</v>
      </c>
      <c r="I46" s="4"/>
      <c r="J46" s="4"/>
      <c r="K46" s="4">
        <v>215</v>
      </c>
      <c r="L46" s="4">
        <v>17</v>
      </c>
      <c r="M46" s="4">
        <v>3</v>
      </c>
      <c r="N46" s="4" t="s">
        <v>3</v>
      </c>
      <c r="O46" s="4">
        <v>2</v>
      </c>
      <c r="P46" s="4"/>
      <c r="Q46" s="4"/>
      <c r="R46" s="4"/>
      <c r="S46" s="4"/>
      <c r="T46" s="4"/>
      <c r="U46" s="4"/>
      <c r="V46" s="4"/>
      <c r="W46" s="4">
        <v>0</v>
      </c>
      <c r="X46" s="4">
        <v>1</v>
      </c>
      <c r="Y46" s="4">
        <v>0</v>
      </c>
      <c r="Z46" s="4"/>
      <c r="AA46" s="4"/>
      <c r="AB46" s="4"/>
    </row>
    <row r="47" spans="1:28" x14ac:dyDescent="0.2">
      <c r="A47" s="4">
        <v>50</v>
      </c>
      <c r="B47" s="4">
        <v>0</v>
      </c>
      <c r="C47" s="4">
        <v>0</v>
      </c>
      <c r="D47" s="4">
        <v>1</v>
      </c>
      <c r="E47" s="4">
        <v>217</v>
      </c>
      <c r="F47" s="4">
        <f>ROUND(Source!AU28,O47)</f>
        <v>153823.87</v>
      </c>
      <c r="G47" s="4" t="s">
        <v>67</v>
      </c>
      <c r="H47" s="4" t="s">
        <v>68</v>
      </c>
      <c r="I47" s="4"/>
      <c r="J47" s="4"/>
      <c r="K47" s="4">
        <v>217</v>
      </c>
      <c r="L47" s="4">
        <v>18</v>
      </c>
      <c r="M47" s="4">
        <v>3</v>
      </c>
      <c r="N47" s="4" t="s">
        <v>3</v>
      </c>
      <c r="O47" s="4">
        <v>2</v>
      </c>
      <c r="P47" s="4"/>
      <c r="Q47" s="4"/>
      <c r="R47" s="4"/>
      <c r="S47" s="4"/>
      <c r="T47" s="4"/>
      <c r="U47" s="4"/>
      <c r="V47" s="4"/>
      <c r="W47" s="4">
        <v>153823.87</v>
      </c>
      <c r="X47" s="4">
        <v>1</v>
      </c>
      <c r="Y47" s="4">
        <v>153823.87</v>
      </c>
      <c r="Z47" s="4"/>
      <c r="AA47" s="4"/>
      <c r="AB47" s="4"/>
    </row>
    <row r="48" spans="1:28" x14ac:dyDescent="0.2">
      <c r="A48" s="4">
        <v>50</v>
      </c>
      <c r="B48" s="4">
        <v>0</v>
      </c>
      <c r="C48" s="4">
        <v>0</v>
      </c>
      <c r="D48" s="4">
        <v>1</v>
      </c>
      <c r="E48" s="4">
        <v>230</v>
      </c>
      <c r="F48" s="4">
        <f>ROUND(Source!BA28,O48)</f>
        <v>0</v>
      </c>
      <c r="G48" s="4" t="s">
        <v>69</v>
      </c>
      <c r="H48" s="4" t="s">
        <v>70</v>
      </c>
      <c r="I48" s="4"/>
      <c r="J48" s="4"/>
      <c r="K48" s="4">
        <v>230</v>
      </c>
      <c r="L48" s="4">
        <v>19</v>
      </c>
      <c r="M48" s="4">
        <v>3</v>
      </c>
      <c r="N48" s="4" t="s">
        <v>3</v>
      </c>
      <c r="O48" s="4">
        <v>2</v>
      </c>
      <c r="P48" s="4"/>
      <c r="Q48" s="4"/>
      <c r="R48" s="4"/>
      <c r="S48" s="4"/>
      <c r="T48" s="4"/>
      <c r="U48" s="4"/>
      <c r="V48" s="4"/>
      <c r="W48" s="4">
        <v>0</v>
      </c>
      <c r="X48" s="4">
        <v>1</v>
      </c>
      <c r="Y48" s="4">
        <v>0</v>
      </c>
      <c r="Z48" s="4"/>
      <c r="AA48" s="4"/>
      <c r="AB48" s="4"/>
    </row>
    <row r="49" spans="1:206" x14ac:dyDescent="0.2">
      <c r="A49" s="4">
        <v>50</v>
      </c>
      <c r="B49" s="4">
        <v>0</v>
      </c>
      <c r="C49" s="4">
        <v>0</v>
      </c>
      <c r="D49" s="4">
        <v>1</v>
      </c>
      <c r="E49" s="4">
        <v>206</v>
      </c>
      <c r="F49" s="4">
        <f>ROUND(Source!T28,O49)</f>
        <v>0</v>
      </c>
      <c r="G49" s="4" t="s">
        <v>71</v>
      </c>
      <c r="H49" s="4" t="s">
        <v>72</v>
      </c>
      <c r="I49" s="4"/>
      <c r="J49" s="4"/>
      <c r="K49" s="4">
        <v>206</v>
      </c>
      <c r="L49" s="4">
        <v>20</v>
      </c>
      <c r="M49" s="4">
        <v>3</v>
      </c>
      <c r="N49" s="4" t="s">
        <v>3</v>
      </c>
      <c r="O49" s="4">
        <v>2</v>
      </c>
      <c r="P49" s="4"/>
      <c r="Q49" s="4"/>
      <c r="R49" s="4"/>
      <c r="S49" s="4"/>
      <c r="T49" s="4"/>
      <c r="U49" s="4"/>
      <c r="V49" s="4"/>
      <c r="W49" s="4">
        <v>0</v>
      </c>
      <c r="X49" s="4">
        <v>1</v>
      </c>
      <c r="Y49" s="4">
        <v>0</v>
      </c>
      <c r="Z49" s="4"/>
      <c r="AA49" s="4"/>
      <c r="AB49" s="4"/>
    </row>
    <row r="50" spans="1:206" x14ac:dyDescent="0.2">
      <c r="A50" s="4">
        <v>50</v>
      </c>
      <c r="B50" s="4">
        <v>0</v>
      </c>
      <c r="C50" s="4">
        <v>0</v>
      </c>
      <c r="D50" s="4">
        <v>1</v>
      </c>
      <c r="E50" s="4">
        <v>207</v>
      </c>
      <c r="F50" s="4">
        <f>Source!U28</f>
        <v>146.16</v>
      </c>
      <c r="G50" s="4" t="s">
        <v>73</v>
      </c>
      <c r="H50" s="4" t="s">
        <v>74</v>
      </c>
      <c r="I50" s="4"/>
      <c r="J50" s="4"/>
      <c r="K50" s="4">
        <v>207</v>
      </c>
      <c r="L50" s="4">
        <v>21</v>
      </c>
      <c r="M50" s="4">
        <v>3</v>
      </c>
      <c r="N50" s="4" t="s">
        <v>3</v>
      </c>
      <c r="O50" s="4">
        <v>-1</v>
      </c>
      <c r="P50" s="4"/>
      <c r="Q50" s="4"/>
      <c r="R50" s="4"/>
      <c r="S50" s="4"/>
      <c r="T50" s="4"/>
      <c r="U50" s="4"/>
      <c r="V50" s="4"/>
      <c r="W50" s="4">
        <v>146.16</v>
      </c>
      <c r="X50" s="4">
        <v>1</v>
      </c>
      <c r="Y50" s="4">
        <v>146.16</v>
      </c>
      <c r="Z50" s="4"/>
      <c r="AA50" s="4"/>
      <c r="AB50" s="4"/>
    </row>
    <row r="51" spans="1:206" x14ac:dyDescent="0.2">
      <c r="A51" s="4">
        <v>50</v>
      </c>
      <c r="B51" s="4">
        <v>0</v>
      </c>
      <c r="C51" s="4">
        <v>0</v>
      </c>
      <c r="D51" s="4">
        <v>1</v>
      </c>
      <c r="E51" s="4">
        <v>208</v>
      </c>
      <c r="F51" s="4">
        <f>Source!V28</f>
        <v>0</v>
      </c>
      <c r="G51" s="4" t="s">
        <v>75</v>
      </c>
      <c r="H51" s="4" t="s">
        <v>76</v>
      </c>
      <c r="I51" s="4"/>
      <c r="J51" s="4"/>
      <c r="K51" s="4">
        <v>208</v>
      </c>
      <c r="L51" s="4">
        <v>22</v>
      </c>
      <c r="M51" s="4">
        <v>3</v>
      </c>
      <c r="N51" s="4" t="s">
        <v>3</v>
      </c>
      <c r="O51" s="4">
        <v>-1</v>
      </c>
      <c r="P51" s="4"/>
      <c r="Q51" s="4"/>
      <c r="R51" s="4"/>
      <c r="S51" s="4"/>
      <c r="T51" s="4"/>
      <c r="U51" s="4"/>
      <c r="V51" s="4"/>
      <c r="W51" s="4">
        <v>0</v>
      </c>
      <c r="X51" s="4">
        <v>1</v>
      </c>
      <c r="Y51" s="4">
        <v>0</v>
      </c>
      <c r="Z51" s="4"/>
      <c r="AA51" s="4"/>
      <c r="AB51" s="4"/>
    </row>
    <row r="52" spans="1:206" x14ac:dyDescent="0.2">
      <c r="A52" s="4">
        <v>50</v>
      </c>
      <c r="B52" s="4">
        <v>0</v>
      </c>
      <c r="C52" s="4">
        <v>0</v>
      </c>
      <c r="D52" s="4">
        <v>1</v>
      </c>
      <c r="E52" s="4">
        <v>209</v>
      </c>
      <c r="F52" s="4">
        <f>ROUND(Source!W28,O52)</f>
        <v>0</v>
      </c>
      <c r="G52" s="4" t="s">
        <v>77</v>
      </c>
      <c r="H52" s="4" t="s">
        <v>78</v>
      </c>
      <c r="I52" s="4"/>
      <c r="J52" s="4"/>
      <c r="K52" s="4">
        <v>209</v>
      </c>
      <c r="L52" s="4">
        <v>23</v>
      </c>
      <c r="M52" s="4">
        <v>3</v>
      </c>
      <c r="N52" s="4" t="s">
        <v>3</v>
      </c>
      <c r="O52" s="4">
        <v>2</v>
      </c>
      <c r="P52" s="4"/>
      <c r="Q52" s="4"/>
      <c r="R52" s="4"/>
      <c r="S52" s="4"/>
      <c r="T52" s="4"/>
      <c r="U52" s="4"/>
      <c r="V52" s="4"/>
      <c r="W52" s="4">
        <v>0</v>
      </c>
      <c r="X52" s="4">
        <v>1</v>
      </c>
      <c r="Y52" s="4">
        <v>0</v>
      </c>
      <c r="Z52" s="4"/>
      <c r="AA52" s="4"/>
      <c r="AB52" s="4"/>
    </row>
    <row r="53" spans="1:206" x14ac:dyDescent="0.2">
      <c r="A53" s="4">
        <v>50</v>
      </c>
      <c r="B53" s="4">
        <v>0</v>
      </c>
      <c r="C53" s="4">
        <v>0</v>
      </c>
      <c r="D53" s="4">
        <v>1</v>
      </c>
      <c r="E53" s="4">
        <v>233</v>
      </c>
      <c r="F53" s="4">
        <f>ROUND(Source!BD28,O53)</f>
        <v>0</v>
      </c>
      <c r="G53" s="4" t="s">
        <v>79</v>
      </c>
      <c r="H53" s="4" t="s">
        <v>80</v>
      </c>
      <c r="I53" s="4"/>
      <c r="J53" s="4"/>
      <c r="K53" s="4">
        <v>233</v>
      </c>
      <c r="L53" s="4">
        <v>24</v>
      </c>
      <c r="M53" s="4">
        <v>3</v>
      </c>
      <c r="N53" s="4" t="s">
        <v>3</v>
      </c>
      <c r="O53" s="4">
        <v>2</v>
      </c>
      <c r="P53" s="4"/>
      <c r="Q53" s="4"/>
      <c r="R53" s="4"/>
      <c r="S53" s="4"/>
      <c r="T53" s="4"/>
      <c r="U53" s="4"/>
      <c r="V53" s="4"/>
      <c r="W53" s="4">
        <v>0</v>
      </c>
      <c r="X53" s="4">
        <v>1</v>
      </c>
      <c r="Y53" s="4">
        <v>0</v>
      </c>
      <c r="Z53" s="4"/>
      <c r="AA53" s="4"/>
      <c r="AB53" s="4"/>
    </row>
    <row r="54" spans="1:206" x14ac:dyDescent="0.2">
      <c r="A54" s="4">
        <v>50</v>
      </c>
      <c r="B54" s="4">
        <v>0</v>
      </c>
      <c r="C54" s="4">
        <v>0</v>
      </c>
      <c r="D54" s="4">
        <v>1</v>
      </c>
      <c r="E54" s="4">
        <v>210</v>
      </c>
      <c r="F54" s="4">
        <f>ROUND(Source!X28,O54)</f>
        <v>50444.82</v>
      </c>
      <c r="G54" s="4" t="s">
        <v>81</v>
      </c>
      <c r="H54" s="4" t="s">
        <v>82</v>
      </c>
      <c r="I54" s="4"/>
      <c r="J54" s="4"/>
      <c r="K54" s="4">
        <v>210</v>
      </c>
      <c r="L54" s="4">
        <v>25</v>
      </c>
      <c r="M54" s="4">
        <v>3</v>
      </c>
      <c r="N54" s="4" t="s">
        <v>3</v>
      </c>
      <c r="O54" s="4">
        <v>2</v>
      </c>
      <c r="P54" s="4"/>
      <c r="Q54" s="4"/>
      <c r="R54" s="4"/>
      <c r="S54" s="4"/>
      <c r="T54" s="4"/>
      <c r="U54" s="4"/>
      <c r="V54" s="4"/>
      <c r="W54" s="4">
        <v>50444.82</v>
      </c>
      <c r="X54" s="4">
        <v>1</v>
      </c>
      <c r="Y54" s="4">
        <v>50444.82</v>
      </c>
      <c r="Z54" s="4"/>
      <c r="AA54" s="4"/>
      <c r="AB54" s="4"/>
    </row>
    <row r="55" spans="1:206" x14ac:dyDescent="0.2">
      <c r="A55" s="4">
        <v>50</v>
      </c>
      <c r="B55" s="4">
        <v>0</v>
      </c>
      <c r="C55" s="4">
        <v>0</v>
      </c>
      <c r="D55" s="4">
        <v>1</v>
      </c>
      <c r="E55" s="4">
        <v>211</v>
      </c>
      <c r="F55" s="4">
        <f>ROUND(Source!Y28,O55)</f>
        <v>29546.25</v>
      </c>
      <c r="G55" s="4" t="s">
        <v>83</v>
      </c>
      <c r="H55" s="4" t="s">
        <v>84</v>
      </c>
      <c r="I55" s="4"/>
      <c r="J55" s="4"/>
      <c r="K55" s="4">
        <v>211</v>
      </c>
      <c r="L55" s="4">
        <v>26</v>
      </c>
      <c r="M55" s="4">
        <v>3</v>
      </c>
      <c r="N55" s="4" t="s">
        <v>3</v>
      </c>
      <c r="O55" s="4">
        <v>2</v>
      </c>
      <c r="P55" s="4"/>
      <c r="Q55" s="4"/>
      <c r="R55" s="4"/>
      <c r="S55" s="4"/>
      <c r="T55" s="4"/>
      <c r="U55" s="4"/>
      <c r="V55" s="4"/>
      <c r="W55" s="4">
        <v>29546.25</v>
      </c>
      <c r="X55" s="4">
        <v>1</v>
      </c>
      <c r="Y55" s="4">
        <v>29546.25</v>
      </c>
      <c r="Z55" s="4"/>
      <c r="AA55" s="4"/>
      <c r="AB55" s="4"/>
    </row>
    <row r="56" spans="1:206" x14ac:dyDescent="0.2">
      <c r="A56" s="4">
        <v>50</v>
      </c>
      <c r="B56" s="4">
        <v>0</v>
      </c>
      <c r="C56" s="4">
        <v>0</v>
      </c>
      <c r="D56" s="4">
        <v>1</v>
      </c>
      <c r="E56" s="4">
        <v>224</v>
      </c>
      <c r="F56" s="4">
        <f>ROUND(Source!AR28,O56)</f>
        <v>153823.87</v>
      </c>
      <c r="G56" s="4" t="s">
        <v>85</v>
      </c>
      <c r="H56" s="4" t="s">
        <v>86</v>
      </c>
      <c r="I56" s="4"/>
      <c r="J56" s="4"/>
      <c r="K56" s="4">
        <v>224</v>
      </c>
      <c r="L56" s="4">
        <v>27</v>
      </c>
      <c r="M56" s="4">
        <v>3</v>
      </c>
      <c r="N56" s="4" t="s">
        <v>3</v>
      </c>
      <c r="O56" s="4">
        <v>2</v>
      </c>
      <c r="P56" s="4"/>
      <c r="Q56" s="4"/>
      <c r="R56" s="4"/>
      <c r="S56" s="4"/>
      <c r="T56" s="4"/>
      <c r="U56" s="4"/>
      <c r="V56" s="4"/>
      <c r="W56" s="4">
        <v>153823.87</v>
      </c>
      <c r="X56" s="4">
        <v>1</v>
      </c>
      <c r="Y56" s="4">
        <v>153823.87</v>
      </c>
      <c r="Z56" s="4"/>
      <c r="AA56" s="4"/>
      <c r="AB56" s="4"/>
    </row>
    <row r="57" spans="1:206" x14ac:dyDescent="0.2">
      <c r="A57" s="4">
        <v>50</v>
      </c>
      <c r="B57" s="4">
        <v>1</v>
      </c>
      <c r="C57" s="4">
        <v>0</v>
      </c>
      <c r="D57" s="4">
        <v>2</v>
      </c>
      <c r="E57" s="4">
        <v>0</v>
      </c>
      <c r="F57" s="4">
        <f>ROUND(F56,O57)</f>
        <v>153823.87</v>
      </c>
      <c r="G57" s="4" t="s">
        <v>87</v>
      </c>
      <c r="H57" s="4" t="s">
        <v>88</v>
      </c>
      <c r="I57" s="4"/>
      <c r="J57" s="4"/>
      <c r="K57" s="4">
        <v>212</v>
      </c>
      <c r="L57" s="4">
        <v>28</v>
      </c>
      <c r="M57" s="4">
        <v>0</v>
      </c>
      <c r="N57" s="4" t="s">
        <v>3</v>
      </c>
      <c r="O57" s="4">
        <v>2</v>
      </c>
      <c r="P57" s="4"/>
      <c r="Q57" s="4"/>
      <c r="R57" s="4"/>
      <c r="S57" s="4"/>
      <c r="T57" s="4"/>
      <c r="U57" s="4"/>
      <c r="V57" s="4"/>
      <c r="W57" s="4">
        <v>153823.87</v>
      </c>
      <c r="X57" s="4">
        <v>1</v>
      </c>
      <c r="Y57" s="4">
        <v>153823.87</v>
      </c>
      <c r="Z57" s="4"/>
      <c r="AA57" s="4"/>
      <c r="AB57" s="4"/>
    </row>
    <row r="58" spans="1:206" x14ac:dyDescent="0.2">
      <c r="A58" s="4">
        <v>50</v>
      </c>
      <c r="B58" s="4">
        <v>1</v>
      </c>
      <c r="C58" s="4">
        <v>0</v>
      </c>
      <c r="D58" s="4">
        <v>2</v>
      </c>
      <c r="E58" s="4">
        <v>0</v>
      </c>
      <c r="F58" s="4">
        <f>ROUND(F59/9,O58)</f>
        <v>6200</v>
      </c>
      <c r="G58" s="4" t="s">
        <v>89</v>
      </c>
      <c r="H58" s="4" t="s">
        <v>90</v>
      </c>
      <c r="I58" s="4"/>
      <c r="J58" s="4"/>
      <c r="K58" s="4">
        <v>212</v>
      </c>
      <c r="L58" s="4">
        <v>29</v>
      </c>
      <c r="M58" s="4">
        <v>0</v>
      </c>
      <c r="N58" s="4" t="s">
        <v>3</v>
      </c>
      <c r="O58" s="4">
        <v>2</v>
      </c>
      <c r="P58" s="4"/>
      <c r="Q58" s="4"/>
      <c r="R58" s="4"/>
      <c r="S58" s="4"/>
      <c r="T58" s="4"/>
      <c r="U58" s="4"/>
      <c r="V58" s="4"/>
      <c r="W58" s="4">
        <v>6200</v>
      </c>
      <c r="X58" s="4">
        <v>1</v>
      </c>
      <c r="Y58" s="4">
        <v>6200</v>
      </c>
      <c r="Z58" s="4"/>
      <c r="AA58" s="4"/>
      <c r="AB58" s="4"/>
    </row>
    <row r="59" spans="1:206" x14ac:dyDescent="0.2">
      <c r="A59" s="4">
        <v>50</v>
      </c>
      <c r="B59" s="4">
        <v>1</v>
      </c>
      <c r="C59" s="4">
        <v>0</v>
      </c>
      <c r="D59" s="4">
        <v>2</v>
      </c>
      <c r="E59" s="4">
        <v>0</v>
      </c>
      <c r="F59" s="4">
        <f>ROUND(F57*0.362752542892075,O59)</f>
        <v>55800</v>
      </c>
      <c r="G59" s="4" t="s">
        <v>91</v>
      </c>
      <c r="H59" s="4" t="s">
        <v>92</v>
      </c>
      <c r="I59" s="4"/>
      <c r="J59" s="4"/>
      <c r="K59" s="4">
        <v>212</v>
      </c>
      <c r="L59" s="4">
        <v>30</v>
      </c>
      <c r="M59" s="4">
        <v>0</v>
      </c>
      <c r="N59" s="4" t="s">
        <v>3</v>
      </c>
      <c r="O59" s="4">
        <v>2</v>
      </c>
      <c r="P59" s="4"/>
      <c r="Q59" s="4"/>
      <c r="R59" s="4"/>
      <c r="S59" s="4"/>
      <c r="T59" s="4"/>
      <c r="U59" s="4"/>
      <c r="V59" s="4"/>
      <c r="W59" s="4">
        <v>55800</v>
      </c>
      <c r="X59" s="4">
        <v>1</v>
      </c>
      <c r="Y59" s="4">
        <v>55800</v>
      </c>
      <c r="Z59" s="4"/>
      <c r="AA59" s="4"/>
      <c r="AB59" s="4"/>
    </row>
    <row r="60" spans="1:206" x14ac:dyDescent="0.2">
      <c r="A60" s="4">
        <v>50</v>
      </c>
      <c r="B60" s="4">
        <v>1</v>
      </c>
      <c r="C60" s="4">
        <v>0</v>
      </c>
      <c r="D60" s="4">
        <v>2</v>
      </c>
      <c r="E60" s="4">
        <v>213</v>
      </c>
      <c r="F60" s="4">
        <f>ROUND(F59*5,O60)</f>
        <v>279000</v>
      </c>
      <c r="G60" s="4" t="s">
        <v>93</v>
      </c>
      <c r="H60" s="4" t="s">
        <v>94</v>
      </c>
      <c r="I60" s="4"/>
      <c r="J60" s="4"/>
      <c r="K60" s="4">
        <v>212</v>
      </c>
      <c r="L60" s="4">
        <v>32</v>
      </c>
      <c r="M60" s="4">
        <v>0</v>
      </c>
      <c r="N60" s="4" t="s">
        <v>3</v>
      </c>
      <c r="O60" s="4">
        <v>2</v>
      </c>
      <c r="P60" s="4"/>
      <c r="Q60" s="4"/>
      <c r="R60" s="4"/>
      <c r="S60" s="4"/>
      <c r="T60" s="4"/>
      <c r="U60" s="4"/>
      <c r="V60" s="4"/>
      <c r="W60" s="4">
        <v>279000</v>
      </c>
      <c r="X60" s="4">
        <v>1</v>
      </c>
      <c r="Y60" s="4">
        <v>279000</v>
      </c>
      <c r="Z60" s="4"/>
      <c r="AA60" s="4"/>
      <c r="AB60" s="4"/>
    </row>
    <row r="62" spans="1:206" x14ac:dyDescent="0.2">
      <c r="A62" s="2">
        <v>51</v>
      </c>
      <c r="B62" s="2">
        <f>B12</f>
        <v>98</v>
      </c>
      <c r="C62" s="2">
        <f>A12</f>
        <v>1</v>
      </c>
      <c r="D62" s="2">
        <f>ROW(A12)</f>
        <v>12</v>
      </c>
      <c r="E62" s="2"/>
      <c r="F62" s="2" t="str">
        <f>IF(F12&lt;&gt;"",F12,"")</f>
        <v>Новый объект</v>
      </c>
      <c r="G62" s="2" t="str">
        <f>IF(G12&lt;&gt;"",G12,"")</f>
        <v>№272-26.12.24 Р ТСН Смета на обслуживание шлагбаумов (Вячеслав Козлов)</v>
      </c>
      <c r="H62" s="2">
        <v>0</v>
      </c>
      <c r="I62" s="2"/>
      <c r="J62" s="2"/>
      <c r="K62" s="2"/>
      <c r="L62" s="2"/>
      <c r="M62" s="2"/>
      <c r="N62" s="2"/>
      <c r="O62" s="2">
        <f t="shared" ref="O62:T62" si="20">ROUND(O28,2)</f>
        <v>73207.64</v>
      </c>
      <c r="P62" s="2">
        <f t="shared" si="20"/>
        <v>531.67999999999995</v>
      </c>
      <c r="Q62" s="2">
        <f t="shared" si="20"/>
        <v>611.94000000000005</v>
      </c>
      <c r="R62" s="2">
        <f t="shared" si="20"/>
        <v>390.73</v>
      </c>
      <c r="S62" s="2">
        <f t="shared" si="20"/>
        <v>72064.02</v>
      </c>
      <c r="T62" s="2">
        <f t="shared" si="20"/>
        <v>0</v>
      </c>
      <c r="U62" s="2">
        <f>U28</f>
        <v>146.16</v>
      </c>
      <c r="V62" s="2">
        <f>V28</f>
        <v>0</v>
      </c>
      <c r="W62" s="2">
        <f>ROUND(W28,2)</f>
        <v>0</v>
      </c>
      <c r="X62" s="2">
        <f>ROUND(X28,2)</f>
        <v>50444.82</v>
      </c>
      <c r="Y62" s="2">
        <f>ROUND(Y28,2)</f>
        <v>29546.25</v>
      </c>
      <c r="Z62" s="2"/>
      <c r="AA62" s="2"/>
      <c r="AB62" s="2"/>
      <c r="AC62" s="2"/>
      <c r="AD62" s="2"/>
      <c r="AE62" s="2"/>
      <c r="AF62" s="2"/>
      <c r="AG62" s="2"/>
      <c r="AH62" s="2"/>
      <c r="AI62" s="2"/>
      <c r="AJ62" s="2"/>
      <c r="AK62" s="2"/>
      <c r="AL62" s="2"/>
      <c r="AM62" s="2"/>
      <c r="AN62" s="2"/>
      <c r="AO62" s="2">
        <f t="shared" ref="AO62:BD62" si="21">ROUND(AO28,2)</f>
        <v>0</v>
      </c>
      <c r="AP62" s="2">
        <f t="shared" si="21"/>
        <v>0</v>
      </c>
      <c r="AQ62" s="2">
        <f t="shared" si="21"/>
        <v>0</v>
      </c>
      <c r="AR62" s="2">
        <f t="shared" si="21"/>
        <v>153823.87</v>
      </c>
      <c r="AS62" s="2">
        <f t="shared" si="21"/>
        <v>0</v>
      </c>
      <c r="AT62" s="2">
        <f t="shared" si="21"/>
        <v>0</v>
      </c>
      <c r="AU62" s="2">
        <f t="shared" si="21"/>
        <v>153823.87</v>
      </c>
      <c r="AV62" s="2">
        <f t="shared" si="21"/>
        <v>531.67999999999995</v>
      </c>
      <c r="AW62" s="2">
        <f t="shared" si="21"/>
        <v>531.67999999999995</v>
      </c>
      <c r="AX62" s="2">
        <f t="shared" si="21"/>
        <v>0</v>
      </c>
      <c r="AY62" s="2">
        <f t="shared" si="21"/>
        <v>531.67999999999995</v>
      </c>
      <c r="AZ62" s="2">
        <f t="shared" si="21"/>
        <v>0</v>
      </c>
      <c r="BA62" s="2">
        <f t="shared" si="21"/>
        <v>0</v>
      </c>
      <c r="BB62" s="2">
        <f t="shared" si="21"/>
        <v>0</v>
      </c>
      <c r="BC62" s="2">
        <f t="shared" si="21"/>
        <v>0</v>
      </c>
      <c r="BD62" s="2">
        <f t="shared" si="21"/>
        <v>0</v>
      </c>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v>0</v>
      </c>
    </row>
    <row r="64" spans="1:206" x14ac:dyDescent="0.2">
      <c r="A64" s="4">
        <v>50</v>
      </c>
      <c r="B64" s="4">
        <v>0</v>
      </c>
      <c r="C64" s="4">
        <v>0</v>
      </c>
      <c r="D64" s="4">
        <v>1</v>
      </c>
      <c r="E64" s="4">
        <v>201</v>
      </c>
      <c r="F64" s="4">
        <f>ROUND(Source!O62,O64)</f>
        <v>73207.64</v>
      </c>
      <c r="G64" s="4" t="s">
        <v>33</v>
      </c>
      <c r="H64" s="4" t="s">
        <v>34</v>
      </c>
      <c r="I64" s="4"/>
      <c r="J64" s="4"/>
      <c r="K64" s="4">
        <v>201</v>
      </c>
      <c r="L64" s="4">
        <v>1</v>
      </c>
      <c r="M64" s="4">
        <v>3</v>
      </c>
      <c r="N64" s="4" t="s">
        <v>3</v>
      </c>
      <c r="O64" s="4">
        <v>2</v>
      </c>
      <c r="P64" s="4"/>
      <c r="Q64" s="4"/>
      <c r="R64" s="4"/>
      <c r="S64" s="4"/>
      <c r="T64" s="4"/>
      <c r="U64" s="4"/>
      <c r="V64" s="4"/>
      <c r="W64" s="4">
        <v>73207.64</v>
      </c>
      <c r="X64" s="4">
        <v>1</v>
      </c>
      <c r="Y64" s="4">
        <v>73207.64</v>
      </c>
      <c r="Z64" s="4"/>
      <c r="AA64" s="4"/>
      <c r="AB64" s="4"/>
    </row>
    <row r="65" spans="1:28" x14ac:dyDescent="0.2">
      <c r="A65" s="4">
        <v>50</v>
      </c>
      <c r="B65" s="4">
        <v>0</v>
      </c>
      <c r="C65" s="4">
        <v>0</v>
      </c>
      <c r="D65" s="4">
        <v>1</v>
      </c>
      <c r="E65" s="4">
        <v>202</v>
      </c>
      <c r="F65" s="4">
        <f>ROUND(Source!P62,O65)</f>
        <v>531.67999999999995</v>
      </c>
      <c r="G65" s="4" t="s">
        <v>35</v>
      </c>
      <c r="H65" s="4" t="s">
        <v>36</v>
      </c>
      <c r="I65" s="4"/>
      <c r="J65" s="4"/>
      <c r="K65" s="4">
        <v>202</v>
      </c>
      <c r="L65" s="4">
        <v>2</v>
      </c>
      <c r="M65" s="4">
        <v>3</v>
      </c>
      <c r="N65" s="4" t="s">
        <v>3</v>
      </c>
      <c r="O65" s="4">
        <v>2</v>
      </c>
      <c r="P65" s="4"/>
      <c r="Q65" s="4"/>
      <c r="R65" s="4"/>
      <c r="S65" s="4"/>
      <c r="T65" s="4"/>
      <c r="U65" s="4"/>
      <c r="V65" s="4"/>
      <c r="W65" s="4">
        <v>531.67999999999995</v>
      </c>
      <c r="X65" s="4">
        <v>1</v>
      </c>
      <c r="Y65" s="4">
        <v>531.67999999999995</v>
      </c>
      <c r="Z65" s="4"/>
      <c r="AA65" s="4"/>
      <c r="AB65" s="4"/>
    </row>
    <row r="66" spans="1:28" x14ac:dyDescent="0.2">
      <c r="A66" s="4">
        <v>50</v>
      </c>
      <c r="B66" s="4">
        <v>0</v>
      </c>
      <c r="C66" s="4">
        <v>0</v>
      </c>
      <c r="D66" s="4">
        <v>1</v>
      </c>
      <c r="E66" s="4">
        <v>222</v>
      </c>
      <c r="F66" s="4">
        <f>ROUND(Source!AO62,O66)</f>
        <v>0</v>
      </c>
      <c r="G66" s="4" t="s">
        <v>37</v>
      </c>
      <c r="H66" s="4" t="s">
        <v>38</v>
      </c>
      <c r="I66" s="4"/>
      <c r="J66" s="4"/>
      <c r="K66" s="4">
        <v>222</v>
      </c>
      <c r="L66" s="4">
        <v>3</v>
      </c>
      <c r="M66" s="4">
        <v>3</v>
      </c>
      <c r="N66" s="4" t="s">
        <v>3</v>
      </c>
      <c r="O66" s="4">
        <v>2</v>
      </c>
      <c r="P66" s="4"/>
      <c r="Q66" s="4"/>
      <c r="R66" s="4"/>
      <c r="S66" s="4"/>
      <c r="T66" s="4"/>
      <c r="U66" s="4"/>
      <c r="V66" s="4"/>
      <c r="W66" s="4">
        <v>0</v>
      </c>
      <c r="X66" s="4">
        <v>1</v>
      </c>
      <c r="Y66" s="4">
        <v>0</v>
      </c>
      <c r="Z66" s="4"/>
      <c r="AA66" s="4"/>
      <c r="AB66" s="4"/>
    </row>
    <row r="67" spans="1:28" x14ac:dyDescent="0.2">
      <c r="A67" s="4">
        <v>50</v>
      </c>
      <c r="B67" s="4">
        <v>0</v>
      </c>
      <c r="C67" s="4">
        <v>0</v>
      </c>
      <c r="D67" s="4">
        <v>1</v>
      </c>
      <c r="E67" s="4">
        <v>225</v>
      </c>
      <c r="F67" s="4">
        <f>ROUND(Source!AV62,O67)</f>
        <v>531.67999999999995</v>
      </c>
      <c r="G67" s="4" t="s">
        <v>39</v>
      </c>
      <c r="H67" s="4" t="s">
        <v>40</v>
      </c>
      <c r="I67" s="4"/>
      <c r="J67" s="4"/>
      <c r="K67" s="4">
        <v>225</v>
      </c>
      <c r="L67" s="4">
        <v>4</v>
      </c>
      <c r="M67" s="4">
        <v>3</v>
      </c>
      <c r="N67" s="4" t="s">
        <v>3</v>
      </c>
      <c r="O67" s="4">
        <v>2</v>
      </c>
      <c r="P67" s="4"/>
      <c r="Q67" s="4"/>
      <c r="R67" s="4"/>
      <c r="S67" s="4"/>
      <c r="T67" s="4"/>
      <c r="U67" s="4"/>
      <c r="V67" s="4"/>
      <c r="W67" s="4">
        <v>531.67999999999995</v>
      </c>
      <c r="X67" s="4">
        <v>1</v>
      </c>
      <c r="Y67" s="4">
        <v>531.67999999999995</v>
      </c>
      <c r="Z67" s="4"/>
      <c r="AA67" s="4"/>
      <c r="AB67" s="4"/>
    </row>
    <row r="68" spans="1:28" x14ac:dyDescent="0.2">
      <c r="A68" s="4">
        <v>50</v>
      </c>
      <c r="B68" s="4">
        <v>0</v>
      </c>
      <c r="C68" s="4">
        <v>0</v>
      </c>
      <c r="D68" s="4">
        <v>1</v>
      </c>
      <c r="E68" s="4">
        <v>226</v>
      </c>
      <c r="F68" s="4">
        <f>ROUND(Source!AW62,O68)</f>
        <v>531.67999999999995</v>
      </c>
      <c r="G68" s="4" t="s">
        <v>41</v>
      </c>
      <c r="H68" s="4" t="s">
        <v>42</v>
      </c>
      <c r="I68" s="4"/>
      <c r="J68" s="4"/>
      <c r="K68" s="4">
        <v>226</v>
      </c>
      <c r="L68" s="4">
        <v>5</v>
      </c>
      <c r="M68" s="4">
        <v>3</v>
      </c>
      <c r="N68" s="4" t="s">
        <v>3</v>
      </c>
      <c r="O68" s="4">
        <v>2</v>
      </c>
      <c r="P68" s="4"/>
      <c r="Q68" s="4"/>
      <c r="R68" s="4"/>
      <c r="S68" s="4"/>
      <c r="T68" s="4"/>
      <c r="U68" s="4"/>
      <c r="V68" s="4"/>
      <c r="W68" s="4">
        <v>531.67999999999995</v>
      </c>
      <c r="X68" s="4">
        <v>1</v>
      </c>
      <c r="Y68" s="4">
        <v>531.67999999999995</v>
      </c>
      <c r="Z68" s="4"/>
      <c r="AA68" s="4"/>
      <c r="AB68" s="4"/>
    </row>
    <row r="69" spans="1:28" x14ac:dyDescent="0.2">
      <c r="A69" s="4">
        <v>50</v>
      </c>
      <c r="B69" s="4">
        <v>0</v>
      </c>
      <c r="C69" s="4">
        <v>0</v>
      </c>
      <c r="D69" s="4">
        <v>1</v>
      </c>
      <c r="E69" s="4">
        <v>227</v>
      </c>
      <c r="F69" s="4">
        <f>ROUND(Source!AX62,O69)</f>
        <v>0</v>
      </c>
      <c r="G69" s="4" t="s">
        <v>43</v>
      </c>
      <c r="H69" s="4" t="s">
        <v>44</v>
      </c>
      <c r="I69" s="4"/>
      <c r="J69" s="4"/>
      <c r="K69" s="4">
        <v>227</v>
      </c>
      <c r="L69" s="4">
        <v>6</v>
      </c>
      <c r="M69" s="4">
        <v>3</v>
      </c>
      <c r="N69" s="4" t="s">
        <v>3</v>
      </c>
      <c r="O69" s="4">
        <v>2</v>
      </c>
      <c r="P69" s="4"/>
      <c r="Q69" s="4"/>
      <c r="R69" s="4"/>
      <c r="S69" s="4"/>
      <c r="T69" s="4"/>
      <c r="U69" s="4"/>
      <c r="V69" s="4"/>
      <c r="W69" s="4">
        <v>0</v>
      </c>
      <c r="X69" s="4">
        <v>1</v>
      </c>
      <c r="Y69" s="4">
        <v>0</v>
      </c>
      <c r="Z69" s="4"/>
      <c r="AA69" s="4"/>
      <c r="AB69" s="4"/>
    </row>
    <row r="70" spans="1:28" x14ac:dyDescent="0.2">
      <c r="A70" s="4">
        <v>50</v>
      </c>
      <c r="B70" s="4">
        <v>0</v>
      </c>
      <c r="C70" s="4">
        <v>0</v>
      </c>
      <c r="D70" s="4">
        <v>1</v>
      </c>
      <c r="E70" s="4">
        <v>228</v>
      </c>
      <c r="F70" s="4">
        <f>ROUND(Source!AY62,O70)</f>
        <v>531.67999999999995</v>
      </c>
      <c r="G70" s="4" t="s">
        <v>45</v>
      </c>
      <c r="H70" s="4" t="s">
        <v>46</v>
      </c>
      <c r="I70" s="4"/>
      <c r="J70" s="4"/>
      <c r="K70" s="4">
        <v>228</v>
      </c>
      <c r="L70" s="4">
        <v>7</v>
      </c>
      <c r="M70" s="4">
        <v>3</v>
      </c>
      <c r="N70" s="4" t="s">
        <v>3</v>
      </c>
      <c r="O70" s="4">
        <v>2</v>
      </c>
      <c r="P70" s="4"/>
      <c r="Q70" s="4"/>
      <c r="R70" s="4"/>
      <c r="S70" s="4"/>
      <c r="T70" s="4"/>
      <c r="U70" s="4"/>
      <c r="V70" s="4"/>
      <c r="W70" s="4">
        <v>531.67999999999995</v>
      </c>
      <c r="X70" s="4">
        <v>1</v>
      </c>
      <c r="Y70" s="4">
        <v>531.67999999999995</v>
      </c>
      <c r="Z70" s="4"/>
      <c r="AA70" s="4"/>
      <c r="AB70" s="4"/>
    </row>
    <row r="71" spans="1:28" x14ac:dyDescent="0.2">
      <c r="A71" s="4">
        <v>50</v>
      </c>
      <c r="B71" s="4">
        <v>0</v>
      </c>
      <c r="C71" s="4">
        <v>0</v>
      </c>
      <c r="D71" s="4">
        <v>1</v>
      </c>
      <c r="E71" s="4">
        <v>216</v>
      </c>
      <c r="F71" s="4">
        <f>ROUND(Source!AP62,O71)</f>
        <v>0</v>
      </c>
      <c r="G71" s="4" t="s">
        <v>47</v>
      </c>
      <c r="H71" s="4" t="s">
        <v>48</v>
      </c>
      <c r="I71" s="4"/>
      <c r="J71" s="4"/>
      <c r="K71" s="4">
        <v>216</v>
      </c>
      <c r="L71" s="4">
        <v>8</v>
      </c>
      <c r="M71" s="4">
        <v>3</v>
      </c>
      <c r="N71" s="4" t="s">
        <v>3</v>
      </c>
      <c r="O71" s="4">
        <v>2</v>
      </c>
      <c r="P71" s="4"/>
      <c r="Q71" s="4"/>
      <c r="R71" s="4"/>
      <c r="S71" s="4"/>
      <c r="T71" s="4"/>
      <c r="U71" s="4"/>
      <c r="V71" s="4"/>
      <c r="W71" s="4">
        <v>0</v>
      </c>
      <c r="X71" s="4">
        <v>1</v>
      </c>
      <c r="Y71" s="4">
        <v>0</v>
      </c>
      <c r="Z71" s="4"/>
      <c r="AA71" s="4"/>
      <c r="AB71" s="4"/>
    </row>
    <row r="72" spans="1:28" x14ac:dyDescent="0.2">
      <c r="A72" s="4">
        <v>50</v>
      </c>
      <c r="B72" s="4">
        <v>0</v>
      </c>
      <c r="C72" s="4">
        <v>0</v>
      </c>
      <c r="D72" s="4">
        <v>1</v>
      </c>
      <c r="E72" s="4">
        <v>223</v>
      </c>
      <c r="F72" s="4">
        <f>ROUND(Source!AQ62,O72)</f>
        <v>0</v>
      </c>
      <c r="G72" s="4" t="s">
        <v>49</v>
      </c>
      <c r="H72" s="4" t="s">
        <v>50</v>
      </c>
      <c r="I72" s="4"/>
      <c r="J72" s="4"/>
      <c r="K72" s="4">
        <v>223</v>
      </c>
      <c r="L72" s="4">
        <v>9</v>
      </c>
      <c r="M72" s="4">
        <v>3</v>
      </c>
      <c r="N72" s="4" t="s">
        <v>3</v>
      </c>
      <c r="O72" s="4">
        <v>2</v>
      </c>
      <c r="P72" s="4"/>
      <c r="Q72" s="4"/>
      <c r="R72" s="4"/>
      <c r="S72" s="4"/>
      <c r="T72" s="4"/>
      <c r="U72" s="4"/>
      <c r="V72" s="4"/>
      <c r="W72" s="4">
        <v>0</v>
      </c>
      <c r="X72" s="4">
        <v>1</v>
      </c>
      <c r="Y72" s="4">
        <v>0</v>
      </c>
      <c r="Z72" s="4"/>
      <c r="AA72" s="4"/>
      <c r="AB72" s="4"/>
    </row>
    <row r="73" spans="1:28" x14ac:dyDescent="0.2">
      <c r="A73" s="4">
        <v>50</v>
      </c>
      <c r="B73" s="4">
        <v>0</v>
      </c>
      <c r="C73" s="4">
        <v>0</v>
      </c>
      <c r="D73" s="4">
        <v>1</v>
      </c>
      <c r="E73" s="4">
        <v>229</v>
      </c>
      <c r="F73" s="4">
        <f>ROUND(Source!AZ62,O73)</f>
        <v>0</v>
      </c>
      <c r="G73" s="4" t="s">
        <v>51</v>
      </c>
      <c r="H73" s="4" t="s">
        <v>52</v>
      </c>
      <c r="I73" s="4"/>
      <c r="J73" s="4"/>
      <c r="K73" s="4">
        <v>229</v>
      </c>
      <c r="L73" s="4">
        <v>10</v>
      </c>
      <c r="M73" s="4">
        <v>3</v>
      </c>
      <c r="N73" s="4" t="s">
        <v>3</v>
      </c>
      <c r="O73" s="4">
        <v>2</v>
      </c>
      <c r="P73" s="4"/>
      <c r="Q73" s="4"/>
      <c r="R73" s="4"/>
      <c r="S73" s="4"/>
      <c r="T73" s="4"/>
      <c r="U73" s="4"/>
      <c r="V73" s="4"/>
      <c r="W73" s="4">
        <v>0</v>
      </c>
      <c r="X73" s="4">
        <v>1</v>
      </c>
      <c r="Y73" s="4">
        <v>0</v>
      </c>
      <c r="Z73" s="4"/>
      <c r="AA73" s="4"/>
      <c r="AB73" s="4"/>
    </row>
    <row r="74" spans="1:28" x14ac:dyDescent="0.2">
      <c r="A74" s="4">
        <v>50</v>
      </c>
      <c r="B74" s="4">
        <v>0</v>
      </c>
      <c r="C74" s="4">
        <v>0</v>
      </c>
      <c r="D74" s="4">
        <v>1</v>
      </c>
      <c r="E74" s="4">
        <v>203</v>
      </c>
      <c r="F74" s="4">
        <f>ROUND(Source!Q62,O74)</f>
        <v>611.94000000000005</v>
      </c>
      <c r="G74" s="4" t="s">
        <v>53</v>
      </c>
      <c r="H74" s="4" t="s">
        <v>54</v>
      </c>
      <c r="I74" s="4"/>
      <c r="J74" s="4"/>
      <c r="K74" s="4">
        <v>203</v>
      </c>
      <c r="L74" s="4">
        <v>11</v>
      </c>
      <c r="M74" s="4">
        <v>3</v>
      </c>
      <c r="N74" s="4" t="s">
        <v>3</v>
      </c>
      <c r="O74" s="4">
        <v>2</v>
      </c>
      <c r="P74" s="4"/>
      <c r="Q74" s="4"/>
      <c r="R74" s="4"/>
      <c r="S74" s="4"/>
      <c r="T74" s="4"/>
      <c r="U74" s="4"/>
      <c r="V74" s="4"/>
      <c r="W74" s="4">
        <v>611.94000000000005</v>
      </c>
      <c r="X74" s="4">
        <v>1</v>
      </c>
      <c r="Y74" s="4">
        <v>611.94000000000005</v>
      </c>
      <c r="Z74" s="4"/>
      <c r="AA74" s="4"/>
      <c r="AB74" s="4"/>
    </row>
    <row r="75" spans="1:28" x14ac:dyDescent="0.2">
      <c r="A75" s="4">
        <v>50</v>
      </c>
      <c r="B75" s="4">
        <v>0</v>
      </c>
      <c r="C75" s="4">
        <v>0</v>
      </c>
      <c r="D75" s="4">
        <v>1</v>
      </c>
      <c r="E75" s="4">
        <v>231</v>
      </c>
      <c r="F75" s="4">
        <f>ROUND(Source!BB62,O75)</f>
        <v>0</v>
      </c>
      <c r="G75" s="4" t="s">
        <v>55</v>
      </c>
      <c r="H75" s="4" t="s">
        <v>56</v>
      </c>
      <c r="I75" s="4"/>
      <c r="J75" s="4"/>
      <c r="K75" s="4">
        <v>231</v>
      </c>
      <c r="L75" s="4">
        <v>12</v>
      </c>
      <c r="M75" s="4">
        <v>3</v>
      </c>
      <c r="N75" s="4" t="s">
        <v>3</v>
      </c>
      <c r="O75" s="4">
        <v>2</v>
      </c>
      <c r="P75" s="4"/>
      <c r="Q75" s="4"/>
      <c r="R75" s="4"/>
      <c r="S75" s="4"/>
      <c r="T75" s="4"/>
      <c r="U75" s="4"/>
      <c r="V75" s="4"/>
      <c r="W75" s="4">
        <v>0</v>
      </c>
      <c r="X75" s="4">
        <v>1</v>
      </c>
      <c r="Y75" s="4">
        <v>0</v>
      </c>
      <c r="Z75" s="4"/>
      <c r="AA75" s="4"/>
      <c r="AB75" s="4"/>
    </row>
    <row r="76" spans="1:28" x14ac:dyDescent="0.2">
      <c r="A76" s="4">
        <v>50</v>
      </c>
      <c r="B76" s="4">
        <v>0</v>
      </c>
      <c r="C76" s="4">
        <v>0</v>
      </c>
      <c r="D76" s="4">
        <v>1</v>
      </c>
      <c r="E76" s="4">
        <v>204</v>
      </c>
      <c r="F76" s="4">
        <f>ROUND(Source!R62,O76)</f>
        <v>390.73</v>
      </c>
      <c r="G76" s="4" t="s">
        <v>57</v>
      </c>
      <c r="H76" s="4" t="s">
        <v>58</v>
      </c>
      <c r="I76" s="4"/>
      <c r="J76" s="4"/>
      <c r="K76" s="4">
        <v>204</v>
      </c>
      <c r="L76" s="4">
        <v>13</v>
      </c>
      <c r="M76" s="4">
        <v>3</v>
      </c>
      <c r="N76" s="4" t="s">
        <v>3</v>
      </c>
      <c r="O76" s="4">
        <v>2</v>
      </c>
      <c r="P76" s="4"/>
      <c r="Q76" s="4"/>
      <c r="R76" s="4"/>
      <c r="S76" s="4"/>
      <c r="T76" s="4"/>
      <c r="U76" s="4"/>
      <c r="V76" s="4"/>
      <c r="W76" s="4">
        <v>390.73</v>
      </c>
      <c r="X76" s="4">
        <v>1</v>
      </c>
      <c r="Y76" s="4">
        <v>390.73</v>
      </c>
      <c r="Z76" s="4"/>
      <c r="AA76" s="4"/>
      <c r="AB76" s="4"/>
    </row>
    <row r="77" spans="1:28" x14ac:dyDescent="0.2">
      <c r="A77" s="4">
        <v>50</v>
      </c>
      <c r="B77" s="4">
        <v>0</v>
      </c>
      <c r="C77" s="4">
        <v>0</v>
      </c>
      <c r="D77" s="4">
        <v>1</v>
      </c>
      <c r="E77" s="4">
        <v>205</v>
      </c>
      <c r="F77" s="4">
        <f>ROUND(Source!S62,O77)</f>
        <v>72064.02</v>
      </c>
      <c r="G77" s="4" t="s">
        <v>59</v>
      </c>
      <c r="H77" s="4" t="s">
        <v>60</v>
      </c>
      <c r="I77" s="4"/>
      <c r="J77" s="4"/>
      <c r="K77" s="4">
        <v>205</v>
      </c>
      <c r="L77" s="4">
        <v>14</v>
      </c>
      <c r="M77" s="4">
        <v>3</v>
      </c>
      <c r="N77" s="4" t="s">
        <v>3</v>
      </c>
      <c r="O77" s="4">
        <v>2</v>
      </c>
      <c r="P77" s="4"/>
      <c r="Q77" s="4"/>
      <c r="R77" s="4"/>
      <c r="S77" s="4"/>
      <c r="T77" s="4"/>
      <c r="U77" s="4"/>
      <c r="V77" s="4"/>
      <c r="W77" s="4">
        <v>72064.02</v>
      </c>
      <c r="X77" s="4">
        <v>1</v>
      </c>
      <c r="Y77" s="4">
        <v>72064.02</v>
      </c>
      <c r="Z77" s="4"/>
      <c r="AA77" s="4"/>
      <c r="AB77" s="4"/>
    </row>
    <row r="78" spans="1:28" x14ac:dyDescent="0.2">
      <c r="A78" s="4">
        <v>50</v>
      </c>
      <c r="B78" s="4">
        <v>0</v>
      </c>
      <c r="C78" s="4">
        <v>0</v>
      </c>
      <c r="D78" s="4">
        <v>1</v>
      </c>
      <c r="E78" s="4">
        <v>232</v>
      </c>
      <c r="F78" s="4">
        <f>ROUND(Source!BC62,O78)</f>
        <v>0</v>
      </c>
      <c r="G78" s="4" t="s">
        <v>61</v>
      </c>
      <c r="H78" s="4" t="s">
        <v>62</v>
      </c>
      <c r="I78" s="4"/>
      <c r="J78" s="4"/>
      <c r="K78" s="4">
        <v>232</v>
      </c>
      <c r="L78" s="4">
        <v>15</v>
      </c>
      <c r="M78" s="4">
        <v>3</v>
      </c>
      <c r="N78" s="4" t="s">
        <v>3</v>
      </c>
      <c r="O78" s="4">
        <v>2</v>
      </c>
      <c r="P78" s="4"/>
      <c r="Q78" s="4"/>
      <c r="R78" s="4"/>
      <c r="S78" s="4"/>
      <c r="T78" s="4"/>
      <c r="U78" s="4"/>
      <c r="V78" s="4"/>
      <c r="W78" s="4">
        <v>0</v>
      </c>
      <c r="X78" s="4">
        <v>1</v>
      </c>
      <c r="Y78" s="4">
        <v>0</v>
      </c>
      <c r="Z78" s="4"/>
      <c r="AA78" s="4"/>
      <c r="AB78" s="4"/>
    </row>
    <row r="79" spans="1:28" x14ac:dyDescent="0.2">
      <c r="A79" s="4">
        <v>50</v>
      </c>
      <c r="B79" s="4">
        <v>0</v>
      </c>
      <c r="C79" s="4">
        <v>0</v>
      </c>
      <c r="D79" s="4">
        <v>1</v>
      </c>
      <c r="E79" s="4">
        <v>214</v>
      </c>
      <c r="F79" s="4">
        <f>ROUND(Source!AS62,O79)</f>
        <v>0</v>
      </c>
      <c r="G79" s="4" t="s">
        <v>63</v>
      </c>
      <c r="H79" s="4" t="s">
        <v>64</v>
      </c>
      <c r="I79" s="4"/>
      <c r="J79" s="4"/>
      <c r="K79" s="4">
        <v>214</v>
      </c>
      <c r="L79" s="4">
        <v>16</v>
      </c>
      <c r="M79" s="4">
        <v>3</v>
      </c>
      <c r="N79" s="4" t="s">
        <v>3</v>
      </c>
      <c r="O79" s="4">
        <v>2</v>
      </c>
      <c r="P79" s="4"/>
      <c r="Q79" s="4"/>
      <c r="R79" s="4"/>
      <c r="S79" s="4"/>
      <c r="T79" s="4"/>
      <c r="U79" s="4"/>
      <c r="V79" s="4"/>
      <c r="W79" s="4">
        <v>0</v>
      </c>
      <c r="X79" s="4">
        <v>1</v>
      </c>
      <c r="Y79" s="4">
        <v>0</v>
      </c>
      <c r="Z79" s="4"/>
      <c r="AA79" s="4"/>
      <c r="AB79" s="4"/>
    </row>
    <row r="80" spans="1:28" x14ac:dyDescent="0.2">
      <c r="A80" s="4">
        <v>50</v>
      </c>
      <c r="B80" s="4">
        <v>0</v>
      </c>
      <c r="C80" s="4">
        <v>0</v>
      </c>
      <c r="D80" s="4">
        <v>1</v>
      </c>
      <c r="E80" s="4">
        <v>215</v>
      </c>
      <c r="F80" s="4">
        <f>ROUND(Source!AT62,O80)</f>
        <v>0</v>
      </c>
      <c r="G80" s="4" t="s">
        <v>65</v>
      </c>
      <c r="H80" s="4" t="s">
        <v>66</v>
      </c>
      <c r="I80" s="4"/>
      <c r="J80" s="4"/>
      <c r="K80" s="4">
        <v>215</v>
      </c>
      <c r="L80" s="4">
        <v>17</v>
      </c>
      <c r="M80" s="4">
        <v>3</v>
      </c>
      <c r="N80" s="4" t="s">
        <v>3</v>
      </c>
      <c r="O80" s="4">
        <v>2</v>
      </c>
      <c r="P80" s="4"/>
      <c r="Q80" s="4"/>
      <c r="R80" s="4"/>
      <c r="S80" s="4"/>
      <c r="T80" s="4"/>
      <c r="U80" s="4"/>
      <c r="V80" s="4"/>
      <c r="W80" s="4">
        <v>0</v>
      </c>
      <c r="X80" s="4">
        <v>1</v>
      </c>
      <c r="Y80" s="4">
        <v>0</v>
      </c>
      <c r="Z80" s="4"/>
      <c r="AA80" s="4"/>
      <c r="AB80" s="4"/>
    </row>
    <row r="81" spans="1:28" x14ac:dyDescent="0.2">
      <c r="A81" s="4">
        <v>50</v>
      </c>
      <c r="B81" s="4">
        <v>0</v>
      </c>
      <c r="C81" s="4">
        <v>0</v>
      </c>
      <c r="D81" s="4">
        <v>1</v>
      </c>
      <c r="E81" s="4">
        <v>217</v>
      </c>
      <c r="F81" s="4">
        <f>ROUND(Source!AU62,O81)</f>
        <v>153823.87</v>
      </c>
      <c r="G81" s="4" t="s">
        <v>67</v>
      </c>
      <c r="H81" s="4" t="s">
        <v>68</v>
      </c>
      <c r="I81" s="4"/>
      <c r="J81" s="4"/>
      <c r="K81" s="4">
        <v>217</v>
      </c>
      <c r="L81" s="4">
        <v>18</v>
      </c>
      <c r="M81" s="4">
        <v>3</v>
      </c>
      <c r="N81" s="4" t="s">
        <v>3</v>
      </c>
      <c r="O81" s="4">
        <v>2</v>
      </c>
      <c r="P81" s="4"/>
      <c r="Q81" s="4"/>
      <c r="R81" s="4"/>
      <c r="S81" s="4"/>
      <c r="T81" s="4"/>
      <c r="U81" s="4"/>
      <c r="V81" s="4"/>
      <c r="W81" s="4">
        <v>153823.87</v>
      </c>
      <c r="X81" s="4">
        <v>1</v>
      </c>
      <c r="Y81" s="4">
        <v>153823.87</v>
      </c>
      <c r="Z81" s="4"/>
      <c r="AA81" s="4"/>
      <c r="AB81" s="4"/>
    </row>
    <row r="82" spans="1:28" x14ac:dyDescent="0.2">
      <c r="A82" s="4">
        <v>50</v>
      </c>
      <c r="B82" s="4">
        <v>0</v>
      </c>
      <c r="C82" s="4">
        <v>0</v>
      </c>
      <c r="D82" s="4">
        <v>1</v>
      </c>
      <c r="E82" s="4">
        <v>230</v>
      </c>
      <c r="F82" s="4">
        <f>ROUND(Source!BA62,O82)</f>
        <v>0</v>
      </c>
      <c r="G82" s="4" t="s">
        <v>69</v>
      </c>
      <c r="H82" s="4" t="s">
        <v>70</v>
      </c>
      <c r="I82" s="4"/>
      <c r="J82" s="4"/>
      <c r="K82" s="4">
        <v>230</v>
      </c>
      <c r="L82" s="4">
        <v>19</v>
      </c>
      <c r="M82" s="4">
        <v>3</v>
      </c>
      <c r="N82" s="4" t="s">
        <v>3</v>
      </c>
      <c r="O82" s="4">
        <v>2</v>
      </c>
      <c r="P82" s="4"/>
      <c r="Q82" s="4"/>
      <c r="R82" s="4"/>
      <c r="S82" s="4"/>
      <c r="T82" s="4"/>
      <c r="U82" s="4"/>
      <c r="V82" s="4"/>
      <c r="W82" s="4">
        <v>0</v>
      </c>
      <c r="X82" s="4">
        <v>1</v>
      </c>
      <c r="Y82" s="4">
        <v>0</v>
      </c>
      <c r="Z82" s="4"/>
      <c r="AA82" s="4"/>
      <c r="AB82" s="4"/>
    </row>
    <row r="83" spans="1:28" x14ac:dyDescent="0.2">
      <c r="A83" s="4">
        <v>50</v>
      </c>
      <c r="B83" s="4">
        <v>0</v>
      </c>
      <c r="C83" s="4">
        <v>0</v>
      </c>
      <c r="D83" s="4">
        <v>1</v>
      </c>
      <c r="E83" s="4">
        <v>206</v>
      </c>
      <c r="F83" s="4">
        <f>ROUND(Source!T62,O83)</f>
        <v>0</v>
      </c>
      <c r="G83" s="4" t="s">
        <v>71</v>
      </c>
      <c r="H83" s="4" t="s">
        <v>72</v>
      </c>
      <c r="I83" s="4"/>
      <c r="J83" s="4"/>
      <c r="K83" s="4">
        <v>206</v>
      </c>
      <c r="L83" s="4">
        <v>20</v>
      </c>
      <c r="M83" s="4">
        <v>3</v>
      </c>
      <c r="N83" s="4" t="s">
        <v>3</v>
      </c>
      <c r="O83" s="4">
        <v>2</v>
      </c>
      <c r="P83" s="4"/>
      <c r="Q83" s="4"/>
      <c r="R83" s="4"/>
      <c r="S83" s="4"/>
      <c r="T83" s="4"/>
      <c r="U83" s="4"/>
      <c r="V83" s="4"/>
      <c r="W83" s="4">
        <v>0</v>
      </c>
      <c r="X83" s="4">
        <v>1</v>
      </c>
      <c r="Y83" s="4">
        <v>0</v>
      </c>
      <c r="Z83" s="4"/>
      <c r="AA83" s="4"/>
      <c r="AB83" s="4"/>
    </row>
    <row r="84" spans="1:28" x14ac:dyDescent="0.2">
      <c r="A84" s="4">
        <v>50</v>
      </c>
      <c r="B84" s="4">
        <v>0</v>
      </c>
      <c r="C84" s="4">
        <v>0</v>
      </c>
      <c r="D84" s="4">
        <v>1</v>
      </c>
      <c r="E84" s="4">
        <v>207</v>
      </c>
      <c r="F84" s="4">
        <f>Source!U62</f>
        <v>146.16</v>
      </c>
      <c r="G84" s="4" t="s">
        <v>73</v>
      </c>
      <c r="H84" s="4" t="s">
        <v>74</v>
      </c>
      <c r="I84" s="4"/>
      <c r="J84" s="4"/>
      <c r="K84" s="4">
        <v>207</v>
      </c>
      <c r="L84" s="4">
        <v>21</v>
      </c>
      <c r="M84" s="4">
        <v>3</v>
      </c>
      <c r="N84" s="4" t="s">
        <v>3</v>
      </c>
      <c r="O84" s="4">
        <v>-1</v>
      </c>
      <c r="P84" s="4"/>
      <c r="Q84" s="4"/>
      <c r="R84" s="4"/>
      <c r="S84" s="4"/>
      <c r="T84" s="4"/>
      <c r="U84" s="4"/>
      <c r="V84" s="4"/>
      <c r="W84" s="4">
        <v>146.16</v>
      </c>
      <c r="X84" s="4">
        <v>1</v>
      </c>
      <c r="Y84" s="4">
        <v>146.16</v>
      </c>
      <c r="Z84" s="4"/>
      <c r="AA84" s="4"/>
      <c r="AB84" s="4"/>
    </row>
    <row r="85" spans="1:28" x14ac:dyDescent="0.2">
      <c r="A85" s="4">
        <v>50</v>
      </c>
      <c r="B85" s="4">
        <v>0</v>
      </c>
      <c r="C85" s="4">
        <v>0</v>
      </c>
      <c r="D85" s="4">
        <v>1</v>
      </c>
      <c r="E85" s="4">
        <v>208</v>
      </c>
      <c r="F85" s="4">
        <f>Source!V62</f>
        <v>0</v>
      </c>
      <c r="G85" s="4" t="s">
        <v>75</v>
      </c>
      <c r="H85" s="4" t="s">
        <v>76</v>
      </c>
      <c r="I85" s="4"/>
      <c r="J85" s="4"/>
      <c r="K85" s="4">
        <v>208</v>
      </c>
      <c r="L85" s="4">
        <v>22</v>
      </c>
      <c r="M85" s="4">
        <v>3</v>
      </c>
      <c r="N85" s="4" t="s">
        <v>3</v>
      </c>
      <c r="O85" s="4">
        <v>-1</v>
      </c>
      <c r="P85" s="4"/>
      <c r="Q85" s="4"/>
      <c r="R85" s="4"/>
      <c r="S85" s="4"/>
      <c r="T85" s="4"/>
      <c r="U85" s="4"/>
      <c r="V85" s="4"/>
      <c r="W85" s="4">
        <v>0</v>
      </c>
      <c r="X85" s="4">
        <v>1</v>
      </c>
      <c r="Y85" s="4">
        <v>0</v>
      </c>
      <c r="Z85" s="4"/>
      <c r="AA85" s="4"/>
      <c r="AB85" s="4"/>
    </row>
    <row r="86" spans="1:28" x14ac:dyDescent="0.2">
      <c r="A86" s="4">
        <v>50</v>
      </c>
      <c r="B86" s="4">
        <v>0</v>
      </c>
      <c r="C86" s="4">
        <v>0</v>
      </c>
      <c r="D86" s="4">
        <v>1</v>
      </c>
      <c r="E86" s="4">
        <v>209</v>
      </c>
      <c r="F86" s="4">
        <f>ROUND(Source!W62,O86)</f>
        <v>0</v>
      </c>
      <c r="G86" s="4" t="s">
        <v>77</v>
      </c>
      <c r="H86" s="4" t="s">
        <v>78</v>
      </c>
      <c r="I86" s="4"/>
      <c r="J86" s="4"/>
      <c r="K86" s="4">
        <v>209</v>
      </c>
      <c r="L86" s="4">
        <v>23</v>
      </c>
      <c r="M86" s="4">
        <v>3</v>
      </c>
      <c r="N86" s="4" t="s">
        <v>3</v>
      </c>
      <c r="O86" s="4">
        <v>2</v>
      </c>
      <c r="P86" s="4"/>
      <c r="Q86" s="4"/>
      <c r="R86" s="4"/>
      <c r="S86" s="4"/>
      <c r="T86" s="4"/>
      <c r="U86" s="4"/>
      <c r="V86" s="4"/>
      <c r="W86" s="4">
        <v>0</v>
      </c>
      <c r="X86" s="4">
        <v>1</v>
      </c>
      <c r="Y86" s="4">
        <v>0</v>
      </c>
      <c r="Z86" s="4"/>
      <c r="AA86" s="4"/>
      <c r="AB86" s="4"/>
    </row>
    <row r="87" spans="1:28" x14ac:dyDescent="0.2">
      <c r="A87" s="4">
        <v>50</v>
      </c>
      <c r="B87" s="4">
        <v>0</v>
      </c>
      <c r="C87" s="4">
        <v>0</v>
      </c>
      <c r="D87" s="4">
        <v>1</v>
      </c>
      <c r="E87" s="4">
        <v>233</v>
      </c>
      <c r="F87" s="4">
        <f>ROUND(Source!BD62,O87)</f>
        <v>0</v>
      </c>
      <c r="G87" s="4" t="s">
        <v>79</v>
      </c>
      <c r="H87" s="4" t="s">
        <v>80</v>
      </c>
      <c r="I87" s="4"/>
      <c r="J87" s="4"/>
      <c r="K87" s="4">
        <v>233</v>
      </c>
      <c r="L87" s="4">
        <v>24</v>
      </c>
      <c r="M87" s="4">
        <v>3</v>
      </c>
      <c r="N87" s="4" t="s">
        <v>3</v>
      </c>
      <c r="O87" s="4">
        <v>2</v>
      </c>
      <c r="P87" s="4"/>
      <c r="Q87" s="4"/>
      <c r="R87" s="4"/>
      <c r="S87" s="4"/>
      <c r="T87" s="4"/>
      <c r="U87" s="4"/>
      <c r="V87" s="4"/>
      <c r="W87" s="4">
        <v>0</v>
      </c>
      <c r="X87" s="4">
        <v>1</v>
      </c>
      <c r="Y87" s="4">
        <v>0</v>
      </c>
      <c r="Z87" s="4"/>
      <c r="AA87" s="4"/>
      <c r="AB87" s="4"/>
    </row>
    <row r="88" spans="1:28" x14ac:dyDescent="0.2">
      <c r="A88" s="4">
        <v>50</v>
      </c>
      <c r="B88" s="4">
        <v>0</v>
      </c>
      <c r="C88" s="4">
        <v>0</v>
      </c>
      <c r="D88" s="4">
        <v>1</v>
      </c>
      <c r="E88" s="4">
        <v>210</v>
      </c>
      <c r="F88" s="4">
        <f>ROUND(Source!X62,O88)</f>
        <v>50444.82</v>
      </c>
      <c r="G88" s="4" t="s">
        <v>81</v>
      </c>
      <c r="H88" s="4" t="s">
        <v>82</v>
      </c>
      <c r="I88" s="4"/>
      <c r="J88" s="4"/>
      <c r="K88" s="4">
        <v>210</v>
      </c>
      <c r="L88" s="4">
        <v>25</v>
      </c>
      <c r="M88" s="4">
        <v>3</v>
      </c>
      <c r="N88" s="4" t="s">
        <v>3</v>
      </c>
      <c r="O88" s="4">
        <v>2</v>
      </c>
      <c r="P88" s="4"/>
      <c r="Q88" s="4"/>
      <c r="R88" s="4"/>
      <c r="S88" s="4"/>
      <c r="T88" s="4"/>
      <c r="U88" s="4"/>
      <c r="V88" s="4"/>
      <c r="W88" s="4">
        <v>50444.82</v>
      </c>
      <c r="X88" s="4">
        <v>1</v>
      </c>
      <c r="Y88" s="4">
        <v>50444.82</v>
      </c>
      <c r="Z88" s="4"/>
      <c r="AA88" s="4"/>
      <c r="AB88" s="4"/>
    </row>
    <row r="89" spans="1:28" x14ac:dyDescent="0.2">
      <c r="A89" s="4">
        <v>50</v>
      </c>
      <c r="B89" s="4">
        <v>0</v>
      </c>
      <c r="C89" s="4">
        <v>0</v>
      </c>
      <c r="D89" s="4">
        <v>1</v>
      </c>
      <c r="E89" s="4">
        <v>211</v>
      </c>
      <c r="F89" s="4">
        <f>ROUND(Source!Y62,O89)</f>
        <v>29546.25</v>
      </c>
      <c r="G89" s="4" t="s">
        <v>83</v>
      </c>
      <c r="H89" s="4" t="s">
        <v>84</v>
      </c>
      <c r="I89" s="4"/>
      <c r="J89" s="4"/>
      <c r="K89" s="4">
        <v>211</v>
      </c>
      <c r="L89" s="4">
        <v>26</v>
      </c>
      <c r="M89" s="4">
        <v>3</v>
      </c>
      <c r="N89" s="4" t="s">
        <v>3</v>
      </c>
      <c r="O89" s="4">
        <v>2</v>
      </c>
      <c r="P89" s="4"/>
      <c r="Q89" s="4"/>
      <c r="R89" s="4"/>
      <c r="S89" s="4"/>
      <c r="T89" s="4"/>
      <c r="U89" s="4"/>
      <c r="V89" s="4"/>
      <c r="W89" s="4">
        <v>29546.25</v>
      </c>
      <c r="X89" s="4">
        <v>1</v>
      </c>
      <c r="Y89" s="4">
        <v>29546.25</v>
      </c>
      <c r="Z89" s="4"/>
      <c r="AA89" s="4"/>
      <c r="AB89" s="4"/>
    </row>
    <row r="90" spans="1:28" x14ac:dyDescent="0.2">
      <c r="A90" s="4">
        <v>50</v>
      </c>
      <c r="B90" s="4">
        <v>0</v>
      </c>
      <c r="C90" s="4">
        <v>0</v>
      </c>
      <c r="D90" s="4">
        <v>1</v>
      </c>
      <c r="E90" s="4">
        <v>224</v>
      </c>
      <c r="F90" s="4">
        <f>ROUND(Source!AR62,O90)</f>
        <v>153823.87</v>
      </c>
      <c r="G90" s="4" t="s">
        <v>85</v>
      </c>
      <c r="H90" s="4" t="s">
        <v>86</v>
      </c>
      <c r="I90" s="4"/>
      <c r="J90" s="4"/>
      <c r="K90" s="4">
        <v>224</v>
      </c>
      <c r="L90" s="4">
        <v>27</v>
      </c>
      <c r="M90" s="4">
        <v>3</v>
      </c>
      <c r="N90" s="4" t="s">
        <v>3</v>
      </c>
      <c r="O90" s="4">
        <v>2</v>
      </c>
      <c r="P90" s="4"/>
      <c r="Q90" s="4"/>
      <c r="R90" s="4"/>
      <c r="S90" s="4"/>
      <c r="T90" s="4"/>
      <c r="U90" s="4"/>
      <c r="V90" s="4"/>
      <c r="W90" s="4">
        <v>153823.87</v>
      </c>
      <c r="X90" s="4">
        <v>1</v>
      </c>
      <c r="Y90" s="4">
        <v>153823.87</v>
      </c>
      <c r="Z90" s="4"/>
      <c r="AA90" s="4"/>
      <c r="AB90" s="4"/>
    </row>
    <row r="91" spans="1:28" x14ac:dyDescent="0.2">
      <c r="A91" s="4">
        <v>50</v>
      </c>
      <c r="B91" s="4">
        <v>1</v>
      </c>
      <c r="C91" s="4">
        <v>0</v>
      </c>
      <c r="D91" s="4">
        <v>2</v>
      </c>
      <c r="E91" s="4">
        <v>0</v>
      </c>
      <c r="F91" s="4">
        <f>ROUND(F90,O91)</f>
        <v>153823.87</v>
      </c>
      <c r="G91" s="4" t="s">
        <v>87</v>
      </c>
      <c r="H91" s="4" t="s">
        <v>88</v>
      </c>
      <c r="I91" s="4"/>
      <c r="J91" s="4"/>
      <c r="K91" s="4">
        <v>212</v>
      </c>
      <c r="L91" s="4">
        <v>28</v>
      </c>
      <c r="M91" s="4">
        <v>0</v>
      </c>
      <c r="N91" s="4" t="s">
        <v>3</v>
      </c>
      <c r="O91" s="4">
        <v>2</v>
      </c>
      <c r="P91" s="4"/>
      <c r="Q91" s="4"/>
      <c r="R91" s="4"/>
      <c r="S91" s="4"/>
      <c r="T91" s="4"/>
      <c r="U91" s="4"/>
      <c r="V91" s="4"/>
      <c r="W91" s="4">
        <v>153823.87</v>
      </c>
      <c r="X91" s="4">
        <v>1</v>
      </c>
      <c r="Y91" s="4">
        <v>153823.87</v>
      </c>
      <c r="Z91" s="4"/>
      <c r="AA91" s="4"/>
      <c r="AB91" s="4"/>
    </row>
    <row r="94" spans="1:28" x14ac:dyDescent="0.2">
      <c r="A94">
        <v>70</v>
      </c>
      <c r="B94">
        <v>1</v>
      </c>
      <c r="D94">
        <v>1</v>
      </c>
      <c r="E94" t="s">
        <v>95</v>
      </c>
      <c r="F94" t="s">
        <v>96</v>
      </c>
      <c r="G94">
        <v>0</v>
      </c>
      <c r="H94">
        <v>0</v>
      </c>
      <c r="I94" t="s">
        <v>3</v>
      </c>
      <c r="J94">
        <v>0</v>
      </c>
      <c r="K94">
        <v>0</v>
      </c>
      <c r="L94" t="s">
        <v>3</v>
      </c>
      <c r="M94" t="s">
        <v>3</v>
      </c>
      <c r="N94">
        <v>0</v>
      </c>
      <c r="P94" t="s">
        <v>3</v>
      </c>
    </row>
    <row r="96" spans="1:28" x14ac:dyDescent="0.2">
      <c r="A96">
        <v>-1</v>
      </c>
    </row>
    <row r="98" spans="1:50" x14ac:dyDescent="0.2">
      <c r="A98" s="3">
        <v>75</v>
      </c>
      <c r="B98" s="3" t="s">
        <v>97</v>
      </c>
      <c r="C98" s="3">
        <v>2024</v>
      </c>
      <c r="D98" s="3">
        <v>0</v>
      </c>
      <c r="E98" s="3">
        <v>10</v>
      </c>
      <c r="F98" s="3"/>
      <c r="G98" s="3">
        <v>0</v>
      </c>
      <c r="H98" s="3">
        <v>2</v>
      </c>
      <c r="I98" s="3">
        <v>1</v>
      </c>
      <c r="J98" s="3">
        <v>1</v>
      </c>
      <c r="K98" s="3">
        <v>95</v>
      </c>
      <c r="L98" s="3">
        <v>65</v>
      </c>
      <c r="M98" s="3">
        <v>0</v>
      </c>
      <c r="N98" s="3">
        <v>91035980</v>
      </c>
      <c r="O98" s="3">
        <v>1</v>
      </c>
    </row>
    <row r="99" spans="1:50" x14ac:dyDescent="0.2">
      <c r="A99" s="5">
        <v>1</v>
      </c>
      <c r="B99" s="5" t="s">
        <v>98</v>
      </c>
      <c r="C99" s="5" t="s">
        <v>99</v>
      </c>
      <c r="D99" s="5">
        <v>2024</v>
      </c>
      <c r="E99" s="5">
        <v>10</v>
      </c>
      <c r="F99" s="5">
        <v>1</v>
      </c>
      <c r="G99" s="5">
        <v>1</v>
      </c>
      <c r="H99" s="5">
        <v>0</v>
      </c>
      <c r="I99" s="5">
        <v>2</v>
      </c>
      <c r="J99" s="5">
        <v>1</v>
      </c>
      <c r="K99" s="5">
        <v>9.74</v>
      </c>
      <c r="L99" s="5">
        <v>7.2</v>
      </c>
      <c r="M99" s="5">
        <v>1</v>
      </c>
      <c r="N99" s="5">
        <v>1</v>
      </c>
      <c r="O99" s="5">
        <v>9.74</v>
      </c>
      <c r="P99" s="5">
        <v>7.2</v>
      </c>
      <c r="Q99" s="5">
        <v>1</v>
      </c>
      <c r="R99" s="5" t="s">
        <v>3</v>
      </c>
      <c r="S99" s="5" t="s">
        <v>3</v>
      </c>
      <c r="T99" s="5" t="s">
        <v>3</v>
      </c>
      <c r="U99" s="5" t="s">
        <v>3</v>
      </c>
      <c r="V99" s="5" t="s">
        <v>3</v>
      </c>
      <c r="W99" s="5" t="s">
        <v>3</v>
      </c>
      <c r="X99" s="5" t="s">
        <v>3</v>
      </c>
      <c r="Y99" s="5" t="s">
        <v>3</v>
      </c>
      <c r="Z99" s="5" t="s">
        <v>3</v>
      </c>
      <c r="AA99" s="5" t="s">
        <v>100</v>
      </c>
      <c r="AB99" s="5"/>
      <c r="AC99" s="5"/>
      <c r="AD99" s="5"/>
      <c r="AE99" s="5"/>
      <c r="AF99" s="5"/>
      <c r="AG99" s="5"/>
      <c r="AH99" s="5"/>
      <c r="AI99" s="5"/>
      <c r="AJ99" s="5"/>
      <c r="AK99" s="5"/>
      <c r="AL99" s="5"/>
      <c r="AM99" s="5"/>
      <c r="AN99" s="5">
        <v>91035981</v>
      </c>
      <c r="AO99" s="5"/>
      <c r="AP99" s="5"/>
      <c r="AQ99" s="5"/>
      <c r="AR99" s="5"/>
      <c r="AS99" s="5"/>
      <c r="AT99" s="5"/>
      <c r="AU99" s="5"/>
      <c r="AV99" s="5"/>
      <c r="AW99" s="5"/>
      <c r="AX99" s="5"/>
    </row>
    <row r="103" spans="1:50" x14ac:dyDescent="0.2">
      <c r="A103">
        <v>65</v>
      </c>
      <c r="C103">
        <v>1</v>
      </c>
      <c r="D103">
        <v>0</v>
      </c>
      <c r="E103">
        <v>245</v>
      </c>
    </row>
  </sheetData>
  <printOptions gridLines="1"/>
  <pageMargins left="0.75" right="0.75" top="1" bottom="1" header="0.5" footer="0.5"/>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53"/>
  <sheetViews>
    <sheetView workbookViewId="0">
      <selection activeCell="A99" sqref="A99:AX99"/>
    </sheetView>
  </sheetViews>
  <sheetFormatPr defaultColWidth="9.140625" defaultRowHeight="12.75" x14ac:dyDescent="0.2"/>
  <cols>
    <col min="1" max="256" width="9.140625" customWidth="1"/>
  </cols>
  <sheetData>
    <row r="1" spans="1:133" x14ac:dyDescent="0.2">
      <c r="A1">
        <v>0</v>
      </c>
      <c r="B1" t="s">
        <v>0</v>
      </c>
      <c r="D1" t="s">
        <v>101</v>
      </c>
      <c r="F1">
        <v>0</v>
      </c>
      <c r="G1">
        <v>0</v>
      </c>
      <c r="H1">
        <v>0</v>
      </c>
      <c r="I1" t="s">
        <v>2</v>
      </c>
      <c r="J1" t="s">
        <v>3</v>
      </c>
      <c r="K1">
        <v>1</v>
      </c>
      <c r="L1">
        <v>66899</v>
      </c>
      <c r="M1">
        <v>10</v>
      </c>
      <c r="N1">
        <v>11</v>
      </c>
      <c r="O1">
        <v>11</v>
      </c>
      <c r="P1">
        <v>0</v>
      </c>
      <c r="Q1">
        <v>0</v>
      </c>
    </row>
    <row r="12" spans="1:133" x14ac:dyDescent="0.2">
      <c r="A12" s="1">
        <v>1</v>
      </c>
      <c r="B12" s="1">
        <v>52</v>
      </c>
      <c r="C12" s="1">
        <v>0</v>
      </c>
      <c r="D12" s="1"/>
      <c r="E12" s="1">
        <v>0</v>
      </c>
      <c r="F12" s="1" t="s">
        <v>4</v>
      </c>
      <c r="G12" s="1" t="s">
        <v>5</v>
      </c>
      <c r="H12" s="1" t="s">
        <v>3</v>
      </c>
      <c r="I12" s="1">
        <v>0</v>
      </c>
      <c r="J12" s="1" t="s">
        <v>3</v>
      </c>
      <c r="K12" s="1">
        <v>0</v>
      </c>
      <c r="L12" s="1">
        <v>0</v>
      </c>
      <c r="M12" s="1">
        <v>4098</v>
      </c>
      <c r="N12" s="1"/>
      <c r="O12" s="1">
        <v>0</v>
      </c>
      <c r="P12" s="1">
        <v>0</v>
      </c>
      <c r="Q12" s="1">
        <v>0</v>
      </c>
      <c r="R12" s="1">
        <v>160</v>
      </c>
      <c r="S12" s="1"/>
      <c r="T12" s="1">
        <v>1</v>
      </c>
      <c r="U12" s="1" t="s">
        <v>3</v>
      </c>
      <c r="V12" s="1">
        <v>0</v>
      </c>
      <c r="W12" s="1" t="s">
        <v>3</v>
      </c>
      <c r="X12" s="1" t="s">
        <v>3</v>
      </c>
      <c r="Y12" s="1" t="s">
        <v>3</v>
      </c>
      <c r="Z12" s="1" t="s">
        <v>3</v>
      </c>
      <c r="AA12" s="1" t="s">
        <v>3</v>
      </c>
      <c r="AB12" s="1" t="s">
        <v>3</v>
      </c>
      <c r="AC12" s="1" t="s">
        <v>3</v>
      </c>
      <c r="AD12" s="1" t="s">
        <v>3</v>
      </c>
      <c r="AE12" s="1" t="s">
        <v>3</v>
      </c>
      <c r="AF12" s="1" t="s">
        <v>3</v>
      </c>
      <c r="AG12" s="1" t="s">
        <v>3</v>
      </c>
      <c r="AH12" s="1" t="s">
        <v>3</v>
      </c>
      <c r="AI12" s="1" t="s">
        <v>3</v>
      </c>
      <c r="AJ12" s="1" t="s">
        <v>3</v>
      </c>
      <c r="AK12" s="1"/>
      <c r="AL12" s="1" t="s">
        <v>3</v>
      </c>
      <c r="AM12" s="1" t="s">
        <v>3</v>
      </c>
      <c r="AN12" s="1" t="s">
        <v>3</v>
      </c>
      <c r="AO12" s="1"/>
      <c r="AP12" s="1" t="s">
        <v>3</v>
      </c>
      <c r="AQ12" s="1" t="s">
        <v>3</v>
      </c>
      <c r="AR12" s="1" t="s">
        <v>3</v>
      </c>
      <c r="AS12" s="1"/>
      <c r="AT12" s="1"/>
      <c r="AU12" s="1"/>
      <c r="AV12" s="1"/>
      <c r="AW12" s="1"/>
      <c r="AX12" s="1" t="s">
        <v>3</v>
      </c>
      <c r="AY12" s="1" t="s">
        <v>3</v>
      </c>
      <c r="AZ12" s="1" t="s">
        <v>3</v>
      </c>
      <c r="BA12" s="1"/>
      <c r="BB12" s="1">
        <v>0</v>
      </c>
      <c r="BC12" s="1"/>
      <c r="BD12" s="1"/>
      <c r="BE12" s="1"/>
      <c r="BF12" s="1"/>
      <c r="BG12" s="1"/>
      <c r="BH12" s="1" t="s">
        <v>6</v>
      </c>
      <c r="BI12" s="1" t="s">
        <v>7</v>
      </c>
      <c r="BJ12" s="1">
        <v>1</v>
      </c>
      <c r="BK12" s="1">
        <v>1</v>
      </c>
      <c r="BL12" s="1">
        <v>0</v>
      </c>
      <c r="BM12" s="1">
        <v>0</v>
      </c>
      <c r="BN12" s="1">
        <v>1</v>
      </c>
      <c r="BO12" s="1">
        <v>0</v>
      </c>
      <c r="BP12" s="1">
        <v>6</v>
      </c>
      <c r="BQ12" s="1">
        <v>2</v>
      </c>
      <c r="BR12" s="1">
        <v>1</v>
      </c>
      <c r="BS12" s="1">
        <v>1</v>
      </c>
      <c r="BT12" s="1">
        <v>0</v>
      </c>
      <c r="BU12" s="1">
        <v>0</v>
      </c>
      <c r="BV12" s="1">
        <v>1</v>
      </c>
      <c r="BW12" s="1">
        <v>0</v>
      </c>
      <c r="BX12" s="1">
        <v>0</v>
      </c>
      <c r="BY12" s="1" t="s">
        <v>8</v>
      </c>
      <c r="BZ12" s="1" t="s">
        <v>9</v>
      </c>
      <c r="CA12" s="1" t="s">
        <v>10</v>
      </c>
      <c r="CB12" s="1" t="s">
        <v>10</v>
      </c>
      <c r="CC12" s="1" t="s">
        <v>10</v>
      </c>
      <c r="CD12" s="1" t="s">
        <v>10</v>
      </c>
      <c r="CE12" s="1" t="s">
        <v>11</v>
      </c>
      <c r="CF12" s="1">
        <v>0</v>
      </c>
      <c r="CG12" s="1">
        <v>0</v>
      </c>
      <c r="CH12" s="1">
        <v>8200</v>
      </c>
      <c r="CI12" s="1" t="s">
        <v>3</v>
      </c>
      <c r="CJ12" s="1" t="s">
        <v>3</v>
      </c>
      <c r="CK12" s="1">
        <v>74</v>
      </c>
      <c r="CL12" s="1"/>
      <c r="CM12" s="1"/>
      <c r="CN12" s="1"/>
      <c r="CO12" s="1"/>
      <c r="CP12" s="1"/>
      <c r="CQ12" s="1" t="s">
        <v>12</v>
      </c>
      <c r="CR12" s="1" t="s">
        <v>13</v>
      </c>
      <c r="CS12" s="1">
        <v>41660</v>
      </c>
      <c r="CT12" s="1">
        <v>1</v>
      </c>
      <c r="CU12" s="1">
        <v>74</v>
      </c>
      <c r="CV12" s="1"/>
      <c r="CW12" s="1"/>
      <c r="CX12" s="1"/>
      <c r="CY12" s="1">
        <v>0</v>
      </c>
      <c r="CZ12" s="1" t="s">
        <v>3</v>
      </c>
      <c r="DA12" s="1" t="s">
        <v>3</v>
      </c>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v>0</v>
      </c>
    </row>
    <row r="14" spans="1:133" x14ac:dyDescent="0.2">
      <c r="A14" s="1">
        <v>22</v>
      </c>
      <c r="B14" s="1">
        <v>1</v>
      </c>
      <c r="C14" s="1">
        <v>0</v>
      </c>
      <c r="D14" s="1">
        <v>91035980</v>
      </c>
      <c r="E14" s="1">
        <v>0</v>
      </c>
      <c r="F14" s="1">
        <v>2</v>
      </c>
      <c r="G14" s="1">
        <v>1</v>
      </c>
      <c r="H14" s="1"/>
      <c r="I14" s="1"/>
      <c r="J14" s="1"/>
      <c r="K14" s="1"/>
      <c r="L14" s="1"/>
      <c r="M14" s="1"/>
      <c r="N14" s="1"/>
      <c r="O14" s="1"/>
    </row>
    <row r="16" spans="1:133" x14ac:dyDescent="0.2">
      <c r="A16" s="6">
        <v>3</v>
      </c>
      <c r="B16" s="6">
        <v>0</v>
      </c>
      <c r="C16" s="6" t="s">
        <v>14</v>
      </c>
      <c r="D16" s="6" t="s">
        <v>5</v>
      </c>
      <c r="E16" s="7">
        <f>ROUND((Source!F45)/1000,2)</f>
        <v>0</v>
      </c>
      <c r="F16" s="7">
        <f>ROUND((Source!F46)/1000,2)</f>
        <v>0</v>
      </c>
      <c r="G16" s="7">
        <f>ROUND((Source!F37)/1000,2)</f>
        <v>0</v>
      </c>
      <c r="H16" s="7">
        <f>ROUND((Source!F47)/1000+(Source!F48)/1000,2)</f>
        <v>153.82</v>
      </c>
      <c r="I16" s="7">
        <f>E16+F16+G16+H16</f>
        <v>153.82</v>
      </c>
      <c r="J16" s="7">
        <f>ROUND((Source!F43+Source!F42)/1000,2)</f>
        <v>72.45</v>
      </c>
      <c r="AI16" s="6">
        <v>0</v>
      </c>
      <c r="AJ16" s="6">
        <v>-1</v>
      </c>
      <c r="AK16" s="6" t="s">
        <v>3</v>
      </c>
      <c r="AL16" s="6" t="s">
        <v>3</v>
      </c>
      <c r="AM16" s="6" t="s">
        <v>3</v>
      </c>
      <c r="AN16" s="6">
        <v>0</v>
      </c>
      <c r="AO16" s="6" t="s">
        <v>3</v>
      </c>
      <c r="AP16" s="6" t="s">
        <v>3</v>
      </c>
      <c r="AT16" s="7">
        <v>73207.64</v>
      </c>
      <c r="AU16" s="7">
        <v>531.67999999999995</v>
      </c>
      <c r="AV16" s="7">
        <v>0</v>
      </c>
      <c r="AW16" s="7">
        <v>0</v>
      </c>
      <c r="AX16" s="7">
        <v>0</v>
      </c>
      <c r="AY16" s="7">
        <v>611.94000000000005</v>
      </c>
      <c r="AZ16" s="7">
        <v>390.73</v>
      </c>
      <c r="BA16" s="7">
        <v>72064.02</v>
      </c>
      <c r="BB16" s="7">
        <v>0</v>
      </c>
      <c r="BC16" s="7">
        <v>0</v>
      </c>
      <c r="BD16" s="7">
        <v>153823.87</v>
      </c>
      <c r="BE16" s="7">
        <v>0</v>
      </c>
      <c r="BF16" s="7">
        <v>146.16</v>
      </c>
      <c r="BG16" s="7">
        <v>0</v>
      </c>
      <c r="BH16" s="7">
        <v>0</v>
      </c>
      <c r="BI16" s="7">
        <v>50444.82</v>
      </c>
      <c r="BJ16" s="7">
        <v>29546.25</v>
      </c>
      <c r="BK16" s="7">
        <v>153823.87</v>
      </c>
    </row>
    <row r="18" spans="1:19" x14ac:dyDescent="0.2">
      <c r="A18">
        <v>51</v>
      </c>
      <c r="E18" s="8">
        <f>SUMIF(A16:A17,3,E16:E17)</f>
        <v>0</v>
      </c>
      <c r="F18" s="8">
        <f>SUMIF(A16:A17,3,F16:F17)</f>
        <v>0</v>
      </c>
      <c r="G18" s="8">
        <f>SUMIF(A16:A17,3,G16:G17)</f>
        <v>0</v>
      </c>
      <c r="H18" s="8">
        <f>SUMIF(A16:A17,3,H16:H17)</f>
        <v>153.82</v>
      </c>
      <c r="I18" s="8">
        <f>SUMIF(A16:A17,3,I16:I17)</f>
        <v>153.82</v>
      </c>
      <c r="J18" s="8">
        <f>SUMIF(A16:A17,3,J16:J17)</f>
        <v>72.45</v>
      </c>
      <c r="K18" s="8"/>
      <c r="L18" s="8"/>
      <c r="M18" s="8"/>
      <c r="N18" s="8"/>
      <c r="O18" s="8"/>
      <c r="P18" s="8"/>
      <c r="Q18" s="8"/>
      <c r="R18" s="8"/>
      <c r="S18" s="8"/>
    </row>
    <row r="20" spans="1:19" x14ac:dyDescent="0.2">
      <c r="A20" s="4">
        <v>50</v>
      </c>
      <c r="B20" s="4">
        <v>0</v>
      </c>
      <c r="C20" s="4">
        <v>0</v>
      </c>
      <c r="D20" s="4">
        <v>1</v>
      </c>
      <c r="E20" s="4">
        <v>201</v>
      </c>
      <c r="F20" s="4">
        <v>73207.64</v>
      </c>
      <c r="G20" s="4" t="s">
        <v>33</v>
      </c>
      <c r="H20" s="4" t="s">
        <v>34</v>
      </c>
      <c r="I20" s="4"/>
      <c r="J20" s="4"/>
      <c r="K20" s="4">
        <v>201</v>
      </c>
      <c r="L20" s="4">
        <v>1</v>
      </c>
      <c r="M20" s="4">
        <v>3</v>
      </c>
      <c r="N20" s="4" t="s">
        <v>3</v>
      </c>
      <c r="O20" s="4">
        <v>2</v>
      </c>
      <c r="P20" s="4"/>
    </row>
    <row r="21" spans="1:19" x14ac:dyDescent="0.2">
      <c r="A21" s="4">
        <v>50</v>
      </c>
      <c r="B21" s="4">
        <v>0</v>
      </c>
      <c r="C21" s="4">
        <v>0</v>
      </c>
      <c r="D21" s="4">
        <v>1</v>
      </c>
      <c r="E21" s="4">
        <v>202</v>
      </c>
      <c r="F21" s="4">
        <v>531.67999999999995</v>
      </c>
      <c r="G21" s="4" t="s">
        <v>35</v>
      </c>
      <c r="H21" s="4" t="s">
        <v>36</v>
      </c>
      <c r="I21" s="4"/>
      <c r="J21" s="4"/>
      <c r="K21" s="4">
        <v>202</v>
      </c>
      <c r="L21" s="4">
        <v>2</v>
      </c>
      <c r="M21" s="4">
        <v>3</v>
      </c>
      <c r="N21" s="4" t="s">
        <v>3</v>
      </c>
      <c r="O21" s="4">
        <v>2</v>
      </c>
      <c r="P21" s="4"/>
    </row>
    <row r="22" spans="1:19" x14ac:dyDescent="0.2">
      <c r="A22" s="4">
        <v>50</v>
      </c>
      <c r="B22" s="4">
        <v>0</v>
      </c>
      <c r="C22" s="4">
        <v>0</v>
      </c>
      <c r="D22" s="4">
        <v>1</v>
      </c>
      <c r="E22" s="4">
        <v>222</v>
      </c>
      <c r="F22" s="4">
        <v>0</v>
      </c>
      <c r="G22" s="4" t="s">
        <v>37</v>
      </c>
      <c r="H22" s="4" t="s">
        <v>38</v>
      </c>
      <c r="I22" s="4"/>
      <c r="J22" s="4"/>
      <c r="K22" s="4">
        <v>222</v>
      </c>
      <c r="L22" s="4">
        <v>3</v>
      </c>
      <c r="M22" s="4">
        <v>3</v>
      </c>
      <c r="N22" s="4" t="s">
        <v>3</v>
      </c>
      <c r="O22" s="4">
        <v>2</v>
      </c>
      <c r="P22" s="4"/>
    </row>
    <row r="23" spans="1:19" x14ac:dyDescent="0.2">
      <c r="A23" s="4">
        <v>50</v>
      </c>
      <c r="B23" s="4">
        <v>0</v>
      </c>
      <c r="C23" s="4">
        <v>0</v>
      </c>
      <c r="D23" s="4">
        <v>1</v>
      </c>
      <c r="E23" s="4">
        <v>225</v>
      </c>
      <c r="F23" s="4">
        <v>531.67999999999995</v>
      </c>
      <c r="G23" s="4" t="s">
        <v>39</v>
      </c>
      <c r="H23" s="4" t="s">
        <v>40</v>
      </c>
      <c r="I23" s="4"/>
      <c r="J23" s="4"/>
      <c r="K23" s="4">
        <v>225</v>
      </c>
      <c r="L23" s="4">
        <v>4</v>
      </c>
      <c r="M23" s="4">
        <v>3</v>
      </c>
      <c r="N23" s="4" t="s">
        <v>3</v>
      </c>
      <c r="O23" s="4">
        <v>2</v>
      </c>
      <c r="P23" s="4"/>
    </row>
    <row r="24" spans="1:19" x14ac:dyDescent="0.2">
      <c r="A24" s="4">
        <v>50</v>
      </c>
      <c r="B24" s="4">
        <v>0</v>
      </c>
      <c r="C24" s="4">
        <v>0</v>
      </c>
      <c r="D24" s="4">
        <v>1</v>
      </c>
      <c r="E24" s="4">
        <v>226</v>
      </c>
      <c r="F24" s="4">
        <v>531.67999999999995</v>
      </c>
      <c r="G24" s="4" t="s">
        <v>41</v>
      </c>
      <c r="H24" s="4" t="s">
        <v>42</v>
      </c>
      <c r="I24" s="4"/>
      <c r="J24" s="4"/>
      <c r="K24" s="4">
        <v>226</v>
      </c>
      <c r="L24" s="4">
        <v>5</v>
      </c>
      <c r="M24" s="4">
        <v>3</v>
      </c>
      <c r="N24" s="4" t="s">
        <v>3</v>
      </c>
      <c r="O24" s="4">
        <v>2</v>
      </c>
      <c r="P24" s="4"/>
    </row>
    <row r="25" spans="1:19" x14ac:dyDescent="0.2">
      <c r="A25" s="4">
        <v>50</v>
      </c>
      <c r="B25" s="4">
        <v>0</v>
      </c>
      <c r="C25" s="4">
        <v>0</v>
      </c>
      <c r="D25" s="4">
        <v>1</v>
      </c>
      <c r="E25" s="4">
        <v>227</v>
      </c>
      <c r="F25" s="4">
        <v>0</v>
      </c>
      <c r="G25" s="4" t="s">
        <v>43</v>
      </c>
      <c r="H25" s="4" t="s">
        <v>44</v>
      </c>
      <c r="I25" s="4"/>
      <c r="J25" s="4"/>
      <c r="K25" s="4">
        <v>227</v>
      </c>
      <c r="L25" s="4">
        <v>6</v>
      </c>
      <c r="M25" s="4">
        <v>3</v>
      </c>
      <c r="N25" s="4" t="s">
        <v>3</v>
      </c>
      <c r="O25" s="4">
        <v>2</v>
      </c>
      <c r="P25" s="4"/>
    </row>
    <row r="26" spans="1:19" x14ac:dyDescent="0.2">
      <c r="A26" s="4">
        <v>50</v>
      </c>
      <c r="B26" s="4">
        <v>0</v>
      </c>
      <c r="C26" s="4">
        <v>0</v>
      </c>
      <c r="D26" s="4">
        <v>1</v>
      </c>
      <c r="E26" s="4">
        <v>228</v>
      </c>
      <c r="F26" s="4">
        <v>531.67999999999995</v>
      </c>
      <c r="G26" s="4" t="s">
        <v>45</v>
      </c>
      <c r="H26" s="4" t="s">
        <v>46</v>
      </c>
      <c r="I26" s="4"/>
      <c r="J26" s="4"/>
      <c r="K26" s="4">
        <v>228</v>
      </c>
      <c r="L26" s="4">
        <v>7</v>
      </c>
      <c r="M26" s="4">
        <v>3</v>
      </c>
      <c r="N26" s="4" t="s">
        <v>3</v>
      </c>
      <c r="O26" s="4">
        <v>2</v>
      </c>
      <c r="P26" s="4"/>
    </row>
    <row r="27" spans="1:19" x14ac:dyDescent="0.2">
      <c r="A27" s="4">
        <v>50</v>
      </c>
      <c r="B27" s="4">
        <v>0</v>
      </c>
      <c r="C27" s="4">
        <v>0</v>
      </c>
      <c r="D27" s="4">
        <v>1</v>
      </c>
      <c r="E27" s="4">
        <v>216</v>
      </c>
      <c r="F27" s="4">
        <v>0</v>
      </c>
      <c r="G27" s="4" t="s">
        <v>47</v>
      </c>
      <c r="H27" s="4" t="s">
        <v>48</v>
      </c>
      <c r="I27" s="4"/>
      <c r="J27" s="4"/>
      <c r="K27" s="4">
        <v>216</v>
      </c>
      <c r="L27" s="4">
        <v>8</v>
      </c>
      <c r="M27" s="4">
        <v>3</v>
      </c>
      <c r="N27" s="4" t="s">
        <v>3</v>
      </c>
      <c r="O27" s="4">
        <v>2</v>
      </c>
      <c r="P27" s="4"/>
    </row>
    <row r="28" spans="1:19" x14ac:dyDescent="0.2">
      <c r="A28" s="4">
        <v>50</v>
      </c>
      <c r="B28" s="4">
        <v>0</v>
      </c>
      <c r="C28" s="4">
        <v>0</v>
      </c>
      <c r="D28" s="4">
        <v>1</v>
      </c>
      <c r="E28" s="4">
        <v>223</v>
      </c>
      <c r="F28" s="4">
        <v>0</v>
      </c>
      <c r="G28" s="4" t="s">
        <v>49</v>
      </c>
      <c r="H28" s="4" t="s">
        <v>50</v>
      </c>
      <c r="I28" s="4"/>
      <c r="J28" s="4"/>
      <c r="K28" s="4">
        <v>223</v>
      </c>
      <c r="L28" s="4">
        <v>9</v>
      </c>
      <c r="M28" s="4">
        <v>3</v>
      </c>
      <c r="N28" s="4" t="s">
        <v>3</v>
      </c>
      <c r="O28" s="4">
        <v>2</v>
      </c>
      <c r="P28" s="4"/>
    </row>
    <row r="29" spans="1:19" x14ac:dyDescent="0.2">
      <c r="A29" s="4">
        <v>50</v>
      </c>
      <c r="B29" s="4">
        <v>0</v>
      </c>
      <c r="C29" s="4">
        <v>0</v>
      </c>
      <c r="D29" s="4">
        <v>1</v>
      </c>
      <c r="E29" s="4">
        <v>229</v>
      </c>
      <c r="F29" s="4">
        <v>0</v>
      </c>
      <c r="G29" s="4" t="s">
        <v>51</v>
      </c>
      <c r="H29" s="4" t="s">
        <v>52</v>
      </c>
      <c r="I29" s="4"/>
      <c r="J29" s="4"/>
      <c r="K29" s="4">
        <v>229</v>
      </c>
      <c r="L29" s="4">
        <v>10</v>
      </c>
      <c r="M29" s="4">
        <v>3</v>
      </c>
      <c r="N29" s="4" t="s">
        <v>3</v>
      </c>
      <c r="O29" s="4">
        <v>2</v>
      </c>
      <c r="P29" s="4"/>
    </row>
    <row r="30" spans="1:19" x14ac:dyDescent="0.2">
      <c r="A30" s="4">
        <v>50</v>
      </c>
      <c r="B30" s="4">
        <v>0</v>
      </c>
      <c r="C30" s="4">
        <v>0</v>
      </c>
      <c r="D30" s="4">
        <v>1</v>
      </c>
      <c r="E30" s="4">
        <v>203</v>
      </c>
      <c r="F30" s="4">
        <v>611.94000000000005</v>
      </c>
      <c r="G30" s="4" t="s">
        <v>53</v>
      </c>
      <c r="H30" s="4" t="s">
        <v>54</v>
      </c>
      <c r="I30" s="4"/>
      <c r="J30" s="4"/>
      <c r="K30" s="4">
        <v>203</v>
      </c>
      <c r="L30" s="4">
        <v>11</v>
      </c>
      <c r="M30" s="4">
        <v>3</v>
      </c>
      <c r="N30" s="4" t="s">
        <v>3</v>
      </c>
      <c r="O30" s="4">
        <v>2</v>
      </c>
      <c r="P30" s="4"/>
    </row>
    <row r="31" spans="1:19" x14ac:dyDescent="0.2">
      <c r="A31" s="4">
        <v>50</v>
      </c>
      <c r="B31" s="4">
        <v>0</v>
      </c>
      <c r="C31" s="4">
        <v>0</v>
      </c>
      <c r="D31" s="4">
        <v>1</v>
      </c>
      <c r="E31" s="4">
        <v>231</v>
      </c>
      <c r="F31" s="4">
        <v>0</v>
      </c>
      <c r="G31" s="4" t="s">
        <v>55</v>
      </c>
      <c r="H31" s="4" t="s">
        <v>56</v>
      </c>
      <c r="I31" s="4"/>
      <c r="J31" s="4"/>
      <c r="K31" s="4">
        <v>231</v>
      </c>
      <c r="L31" s="4">
        <v>12</v>
      </c>
      <c r="M31" s="4">
        <v>3</v>
      </c>
      <c r="N31" s="4" t="s">
        <v>3</v>
      </c>
      <c r="O31" s="4">
        <v>2</v>
      </c>
      <c r="P31" s="4"/>
    </row>
    <row r="32" spans="1:19" x14ac:dyDescent="0.2">
      <c r="A32" s="4">
        <v>50</v>
      </c>
      <c r="B32" s="4">
        <v>0</v>
      </c>
      <c r="C32" s="4">
        <v>0</v>
      </c>
      <c r="D32" s="4">
        <v>1</v>
      </c>
      <c r="E32" s="4">
        <v>204</v>
      </c>
      <c r="F32" s="4">
        <v>390.73</v>
      </c>
      <c r="G32" s="4" t="s">
        <v>57</v>
      </c>
      <c r="H32" s="4" t="s">
        <v>58</v>
      </c>
      <c r="I32" s="4"/>
      <c r="J32" s="4"/>
      <c r="K32" s="4">
        <v>204</v>
      </c>
      <c r="L32" s="4">
        <v>13</v>
      </c>
      <c r="M32" s="4">
        <v>3</v>
      </c>
      <c r="N32" s="4" t="s">
        <v>3</v>
      </c>
      <c r="O32" s="4">
        <v>2</v>
      </c>
      <c r="P32" s="4"/>
    </row>
    <row r="33" spans="1:16" x14ac:dyDescent="0.2">
      <c r="A33" s="4">
        <v>50</v>
      </c>
      <c r="B33" s="4">
        <v>0</v>
      </c>
      <c r="C33" s="4">
        <v>0</v>
      </c>
      <c r="D33" s="4">
        <v>1</v>
      </c>
      <c r="E33" s="4">
        <v>205</v>
      </c>
      <c r="F33" s="4">
        <v>72064.02</v>
      </c>
      <c r="G33" s="4" t="s">
        <v>59</v>
      </c>
      <c r="H33" s="4" t="s">
        <v>60</v>
      </c>
      <c r="I33" s="4"/>
      <c r="J33" s="4"/>
      <c r="K33" s="4">
        <v>205</v>
      </c>
      <c r="L33" s="4">
        <v>14</v>
      </c>
      <c r="M33" s="4">
        <v>3</v>
      </c>
      <c r="N33" s="4" t="s">
        <v>3</v>
      </c>
      <c r="O33" s="4">
        <v>2</v>
      </c>
      <c r="P33" s="4"/>
    </row>
    <row r="34" spans="1:16" x14ac:dyDescent="0.2">
      <c r="A34" s="4">
        <v>50</v>
      </c>
      <c r="B34" s="4">
        <v>0</v>
      </c>
      <c r="C34" s="4">
        <v>0</v>
      </c>
      <c r="D34" s="4">
        <v>1</v>
      </c>
      <c r="E34" s="4">
        <v>232</v>
      </c>
      <c r="F34" s="4">
        <v>0</v>
      </c>
      <c r="G34" s="4" t="s">
        <v>61</v>
      </c>
      <c r="H34" s="4" t="s">
        <v>62</v>
      </c>
      <c r="I34" s="4"/>
      <c r="J34" s="4"/>
      <c r="K34" s="4">
        <v>232</v>
      </c>
      <c r="L34" s="4">
        <v>15</v>
      </c>
      <c r="M34" s="4">
        <v>3</v>
      </c>
      <c r="N34" s="4" t="s">
        <v>3</v>
      </c>
      <c r="O34" s="4">
        <v>2</v>
      </c>
      <c r="P34" s="4"/>
    </row>
    <row r="35" spans="1:16" x14ac:dyDescent="0.2">
      <c r="A35" s="4">
        <v>50</v>
      </c>
      <c r="B35" s="4">
        <v>0</v>
      </c>
      <c r="C35" s="4">
        <v>0</v>
      </c>
      <c r="D35" s="4">
        <v>1</v>
      </c>
      <c r="E35" s="4">
        <v>214</v>
      </c>
      <c r="F35" s="4">
        <v>0</v>
      </c>
      <c r="G35" s="4" t="s">
        <v>63</v>
      </c>
      <c r="H35" s="4" t="s">
        <v>64</v>
      </c>
      <c r="I35" s="4"/>
      <c r="J35" s="4"/>
      <c r="K35" s="4">
        <v>214</v>
      </c>
      <c r="L35" s="4">
        <v>16</v>
      </c>
      <c r="M35" s="4">
        <v>3</v>
      </c>
      <c r="N35" s="4" t="s">
        <v>3</v>
      </c>
      <c r="O35" s="4">
        <v>2</v>
      </c>
      <c r="P35" s="4"/>
    </row>
    <row r="36" spans="1:16" x14ac:dyDescent="0.2">
      <c r="A36" s="4">
        <v>50</v>
      </c>
      <c r="B36" s="4">
        <v>0</v>
      </c>
      <c r="C36" s="4">
        <v>0</v>
      </c>
      <c r="D36" s="4">
        <v>1</v>
      </c>
      <c r="E36" s="4">
        <v>215</v>
      </c>
      <c r="F36" s="4">
        <v>0</v>
      </c>
      <c r="G36" s="4" t="s">
        <v>65</v>
      </c>
      <c r="H36" s="4" t="s">
        <v>66</v>
      </c>
      <c r="I36" s="4"/>
      <c r="J36" s="4"/>
      <c r="K36" s="4">
        <v>215</v>
      </c>
      <c r="L36" s="4">
        <v>17</v>
      </c>
      <c r="M36" s="4">
        <v>3</v>
      </c>
      <c r="N36" s="4" t="s">
        <v>3</v>
      </c>
      <c r="O36" s="4">
        <v>2</v>
      </c>
      <c r="P36" s="4"/>
    </row>
    <row r="37" spans="1:16" x14ac:dyDescent="0.2">
      <c r="A37" s="4">
        <v>50</v>
      </c>
      <c r="B37" s="4">
        <v>0</v>
      </c>
      <c r="C37" s="4">
        <v>0</v>
      </c>
      <c r="D37" s="4">
        <v>1</v>
      </c>
      <c r="E37" s="4">
        <v>217</v>
      </c>
      <c r="F37" s="4">
        <v>153823.87</v>
      </c>
      <c r="G37" s="4" t="s">
        <v>67</v>
      </c>
      <c r="H37" s="4" t="s">
        <v>68</v>
      </c>
      <c r="I37" s="4"/>
      <c r="J37" s="4"/>
      <c r="K37" s="4">
        <v>217</v>
      </c>
      <c r="L37" s="4">
        <v>18</v>
      </c>
      <c r="M37" s="4">
        <v>3</v>
      </c>
      <c r="N37" s="4" t="s">
        <v>3</v>
      </c>
      <c r="O37" s="4">
        <v>2</v>
      </c>
      <c r="P37" s="4"/>
    </row>
    <row r="38" spans="1:16" x14ac:dyDescent="0.2">
      <c r="A38" s="4">
        <v>50</v>
      </c>
      <c r="B38" s="4">
        <v>0</v>
      </c>
      <c r="C38" s="4">
        <v>0</v>
      </c>
      <c r="D38" s="4">
        <v>1</v>
      </c>
      <c r="E38" s="4">
        <v>230</v>
      </c>
      <c r="F38" s="4">
        <v>0</v>
      </c>
      <c r="G38" s="4" t="s">
        <v>69</v>
      </c>
      <c r="H38" s="4" t="s">
        <v>70</v>
      </c>
      <c r="I38" s="4"/>
      <c r="J38" s="4"/>
      <c r="K38" s="4">
        <v>230</v>
      </c>
      <c r="L38" s="4">
        <v>19</v>
      </c>
      <c r="M38" s="4">
        <v>3</v>
      </c>
      <c r="N38" s="4" t="s">
        <v>3</v>
      </c>
      <c r="O38" s="4">
        <v>2</v>
      </c>
      <c r="P38" s="4"/>
    </row>
    <row r="39" spans="1:16" x14ac:dyDescent="0.2">
      <c r="A39" s="4">
        <v>50</v>
      </c>
      <c r="B39" s="4">
        <v>0</v>
      </c>
      <c r="C39" s="4">
        <v>0</v>
      </c>
      <c r="D39" s="4">
        <v>1</v>
      </c>
      <c r="E39" s="4">
        <v>206</v>
      </c>
      <c r="F39" s="4">
        <v>0</v>
      </c>
      <c r="G39" s="4" t="s">
        <v>71</v>
      </c>
      <c r="H39" s="4" t="s">
        <v>72</v>
      </c>
      <c r="I39" s="4"/>
      <c r="J39" s="4"/>
      <c r="K39" s="4">
        <v>206</v>
      </c>
      <c r="L39" s="4">
        <v>20</v>
      </c>
      <c r="M39" s="4">
        <v>3</v>
      </c>
      <c r="N39" s="4" t="s">
        <v>3</v>
      </c>
      <c r="O39" s="4">
        <v>2</v>
      </c>
      <c r="P39" s="4"/>
    </row>
    <row r="40" spans="1:16" x14ac:dyDescent="0.2">
      <c r="A40" s="4">
        <v>50</v>
      </c>
      <c r="B40" s="4">
        <v>0</v>
      </c>
      <c r="C40" s="4">
        <v>0</v>
      </c>
      <c r="D40" s="4">
        <v>1</v>
      </c>
      <c r="E40" s="4">
        <v>207</v>
      </c>
      <c r="F40" s="4">
        <v>146.16</v>
      </c>
      <c r="G40" s="4" t="s">
        <v>73</v>
      </c>
      <c r="H40" s="4" t="s">
        <v>74</v>
      </c>
      <c r="I40" s="4"/>
      <c r="J40" s="4"/>
      <c r="K40" s="4">
        <v>207</v>
      </c>
      <c r="L40" s="4">
        <v>21</v>
      </c>
      <c r="M40" s="4">
        <v>3</v>
      </c>
      <c r="N40" s="4" t="s">
        <v>3</v>
      </c>
      <c r="O40" s="4">
        <v>-1</v>
      </c>
      <c r="P40" s="4"/>
    </row>
    <row r="41" spans="1:16" x14ac:dyDescent="0.2">
      <c r="A41" s="4">
        <v>50</v>
      </c>
      <c r="B41" s="4">
        <v>0</v>
      </c>
      <c r="C41" s="4">
        <v>0</v>
      </c>
      <c r="D41" s="4">
        <v>1</v>
      </c>
      <c r="E41" s="4">
        <v>208</v>
      </c>
      <c r="F41" s="4">
        <v>0</v>
      </c>
      <c r="G41" s="4" t="s">
        <v>75</v>
      </c>
      <c r="H41" s="4" t="s">
        <v>76</v>
      </c>
      <c r="I41" s="4"/>
      <c r="J41" s="4"/>
      <c r="K41" s="4">
        <v>208</v>
      </c>
      <c r="L41" s="4">
        <v>22</v>
      </c>
      <c r="M41" s="4">
        <v>3</v>
      </c>
      <c r="N41" s="4" t="s">
        <v>3</v>
      </c>
      <c r="O41" s="4">
        <v>-1</v>
      </c>
      <c r="P41" s="4"/>
    </row>
    <row r="42" spans="1:16" x14ac:dyDescent="0.2">
      <c r="A42" s="4">
        <v>50</v>
      </c>
      <c r="B42" s="4">
        <v>0</v>
      </c>
      <c r="C42" s="4">
        <v>0</v>
      </c>
      <c r="D42" s="4">
        <v>1</v>
      </c>
      <c r="E42" s="4">
        <v>209</v>
      </c>
      <c r="F42" s="4">
        <v>0</v>
      </c>
      <c r="G42" s="4" t="s">
        <v>77</v>
      </c>
      <c r="H42" s="4" t="s">
        <v>78</v>
      </c>
      <c r="I42" s="4"/>
      <c r="J42" s="4"/>
      <c r="K42" s="4">
        <v>209</v>
      </c>
      <c r="L42" s="4">
        <v>23</v>
      </c>
      <c r="M42" s="4">
        <v>3</v>
      </c>
      <c r="N42" s="4" t="s">
        <v>3</v>
      </c>
      <c r="O42" s="4">
        <v>2</v>
      </c>
      <c r="P42" s="4"/>
    </row>
    <row r="43" spans="1:16" x14ac:dyDescent="0.2">
      <c r="A43" s="4">
        <v>50</v>
      </c>
      <c r="B43" s="4">
        <v>0</v>
      </c>
      <c r="C43" s="4">
        <v>0</v>
      </c>
      <c r="D43" s="4">
        <v>1</v>
      </c>
      <c r="E43" s="4">
        <v>233</v>
      </c>
      <c r="F43" s="4">
        <v>0</v>
      </c>
      <c r="G43" s="4" t="s">
        <v>79</v>
      </c>
      <c r="H43" s="4" t="s">
        <v>80</v>
      </c>
      <c r="I43" s="4"/>
      <c r="J43" s="4"/>
      <c r="K43" s="4">
        <v>233</v>
      </c>
      <c r="L43" s="4">
        <v>24</v>
      </c>
      <c r="M43" s="4">
        <v>3</v>
      </c>
      <c r="N43" s="4" t="s">
        <v>3</v>
      </c>
      <c r="O43" s="4">
        <v>2</v>
      </c>
      <c r="P43" s="4"/>
    </row>
    <row r="44" spans="1:16" x14ac:dyDescent="0.2">
      <c r="A44" s="4">
        <v>50</v>
      </c>
      <c r="B44" s="4">
        <v>0</v>
      </c>
      <c r="C44" s="4">
        <v>0</v>
      </c>
      <c r="D44" s="4">
        <v>1</v>
      </c>
      <c r="E44" s="4">
        <v>210</v>
      </c>
      <c r="F44" s="4">
        <v>50444.82</v>
      </c>
      <c r="G44" s="4" t="s">
        <v>81</v>
      </c>
      <c r="H44" s="4" t="s">
        <v>82</v>
      </c>
      <c r="I44" s="4"/>
      <c r="J44" s="4"/>
      <c r="K44" s="4">
        <v>210</v>
      </c>
      <c r="L44" s="4">
        <v>25</v>
      </c>
      <c r="M44" s="4">
        <v>3</v>
      </c>
      <c r="N44" s="4" t="s">
        <v>3</v>
      </c>
      <c r="O44" s="4">
        <v>2</v>
      </c>
      <c r="P44" s="4"/>
    </row>
    <row r="45" spans="1:16" x14ac:dyDescent="0.2">
      <c r="A45" s="4">
        <v>50</v>
      </c>
      <c r="B45" s="4">
        <v>0</v>
      </c>
      <c r="C45" s="4">
        <v>0</v>
      </c>
      <c r="D45" s="4">
        <v>1</v>
      </c>
      <c r="E45" s="4">
        <v>211</v>
      </c>
      <c r="F45" s="4">
        <v>29546.25</v>
      </c>
      <c r="G45" s="4" t="s">
        <v>83</v>
      </c>
      <c r="H45" s="4" t="s">
        <v>84</v>
      </c>
      <c r="I45" s="4"/>
      <c r="J45" s="4"/>
      <c r="K45" s="4">
        <v>211</v>
      </c>
      <c r="L45" s="4">
        <v>26</v>
      </c>
      <c r="M45" s="4">
        <v>3</v>
      </c>
      <c r="N45" s="4" t="s">
        <v>3</v>
      </c>
      <c r="O45" s="4">
        <v>2</v>
      </c>
      <c r="P45" s="4"/>
    </row>
    <row r="46" spans="1:16" x14ac:dyDescent="0.2">
      <c r="A46" s="4">
        <v>50</v>
      </c>
      <c r="B46" s="4">
        <v>0</v>
      </c>
      <c r="C46" s="4">
        <v>0</v>
      </c>
      <c r="D46" s="4">
        <v>1</v>
      </c>
      <c r="E46" s="4">
        <v>224</v>
      </c>
      <c r="F46" s="4">
        <v>153823.87</v>
      </c>
      <c r="G46" s="4" t="s">
        <v>85</v>
      </c>
      <c r="H46" s="4" t="s">
        <v>86</v>
      </c>
      <c r="I46" s="4"/>
      <c r="J46" s="4"/>
      <c r="K46" s="4">
        <v>224</v>
      </c>
      <c r="L46" s="4">
        <v>27</v>
      </c>
      <c r="M46" s="4">
        <v>3</v>
      </c>
      <c r="N46" s="4" t="s">
        <v>3</v>
      </c>
      <c r="O46" s="4">
        <v>2</v>
      </c>
      <c r="P46" s="4"/>
    </row>
    <row r="47" spans="1:16" x14ac:dyDescent="0.2">
      <c r="A47" s="4">
        <v>50</v>
      </c>
      <c r="B47" s="4">
        <v>1</v>
      </c>
      <c r="C47" s="4">
        <v>0</v>
      </c>
      <c r="D47" s="4">
        <v>2</v>
      </c>
      <c r="E47" s="4">
        <v>0</v>
      </c>
      <c r="F47" s="4">
        <v>153823.87</v>
      </c>
      <c r="G47" s="4" t="s">
        <v>87</v>
      </c>
      <c r="H47" s="4" t="s">
        <v>88</v>
      </c>
      <c r="I47" s="4"/>
      <c r="J47" s="4"/>
      <c r="K47" s="4">
        <v>212</v>
      </c>
      <c r="L47" s="4">
        <v>28</v>
      </c>
      <c r="M47" s="4">
        <v>0</v>
      </c>
      <c r="N47" s="4" t="s">
        <v>3</v>
      </c>
      <c r="O47" s="4">
        <v>2</v>
      </c>
      <c r="P47" s="4"/>
    </row>
    <row r="49" spans="1:50" x14ac:dyDescent="0.2">
      <c r="A49">
        <v>-1</v>
      </c>
    </row>
    <row r="52" spans="1:50" x14ac:dyDescent="0.2">
      <c r="A52" s="3">
        <v>75</v>
      </c>
      <c r="B52" s="3" t="s">
        <v>97</v>
      </c>
      <c r="C52" s="3">
        <v>2024</v>
      </c>
      <c r="D52" s="3">
        <v>0</v>
      </c>
      <c r="E52" s="3">
        <v>10</v>
      </c>
      <c r="F52" s="3"/>
      <c r="G52" s="3">
        <v>0</v>
      </c>
      <c r="H52" s="3">
        <v>2</v>
      </c>
      <c r="I52" s="3">
        <v>1</v>
      </c>
      <c r="J52" s="3">
        <v>1</v>
      </c>
      <c r="K52" s="3">
        <v>95</v>
      </c>
      <c r="L52" s="3">
        <v>65</v>
      </c>
      <c r="M52" s="3">
        <v>0</v>
      </c>
      <c r="N52" s="3">
        <v>91035980</v>
      </c>
      <c r="O52" s="3">
        <v>1</v>
      </c>
    </row>
    <row r="53" spans="1:50" x14ac:dyDescent="0.2">
      <c r="A53" s="5">
        <v>1</v>
      </c>
      <c r="B53" s="5" t="s">
        <v>98</v>
      </c>
      <c r="C53" s="5" t="s">
        <v>99</v>
      </c>
      <c r="D53" s="5">
        <v>2024</v>
      </c>
      <c r="E53" s="5">
        <v>10</v>
      </c>
      <c r="F53" s="5">
        <v>1</v>
      </c>
      <c r="G53" s="5">
        <v>1</v>
      </c>
      <c r="H53" s="5">
        <v>0</v>
      </c>
      <c r="I53" s="5">
        <v>2</v>
      </c>
      <c r="J53" s="5">
        <v>1</v>
      </c>
      <c r="K53" s="5">
        <v>9.74</v>
      </c>
      <c r="L53" s="5">
        <v>7.2</v>
      </c>
      <c r="M53" s="5">
        <v>1</v>
      </c>
      <c r="N53" s="5">
        <v>1</v>
      </c>
      <c r="O53" s="5">
        <v>9.74</v>
      </c>
      <c r="P53" s="5">
        <v>7.2</v>
      </c>
      <c r="Q53" s="5">
        <v>1</v>
      </c>
      <c r="R53" s="5" t="s">
        <v>3</v>
      </c>
      <c r="S53" s="5" t="s">
        <v>3</v>
      </c>
      <c r="T53" s="5" t="s">
        <v>3</v>
      </c>
      <c r="U53" s="5" t="s">
        <v>3</v>
      </c>
      <c r="V53" s="5" t="s">
        <v>3</v>
      </c>
      <c r="W53" s="5" t="s">
        <v>3</v>
      </c>
      <c r="X53" s="5" t="s">
        <v>3</v>
      </c>
      <c r="Y53" s="5" t="s">
        <v>3</v>
      </c>
      <c r="Z53" s="5" t="s">
        <v>3</v>
      </c>
      <c r="AA53" s="5" t="s">
        <v>100</v>
      </c>
      <c r="AB53" s="5"/>
      <c r="AC53" s="5"/>
      <c r="AD53" s="5"/>
      <c r="AE53" s="5"/>
      <c r="AF53" s="5"/>
      <c r="AG53" s="5"/>
      <c r="AH53" s="5"/>
      <c r="AI53" s="5"/>
      <c r="AJ53" s="5"/>
      <c r="AK53" s="5"/>
      <c r="AL53" s="5"/>
      <c r="AM53" s="5"/>
      <c r="AN53" s="5">
        <v>91035981</v>
      </c>
      <c r="AO53" s="5"/>
      <c r="AP53" s="5"/>
      <c r="AQ53" s="5"/>
      <c r="AR53" s="5"/>
      <c r="AS53" s="5"/>
      <c r="AT53" s="5"/>
      <c r="AU53" s="5"/>
      <c r="AV53" s="5"/>
      <c r="AW53" s="5"/>
      <c r="AX53" s="5"/>
    </row>
  </sheetData>
  <printOptions gridLines="1"/>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3"/>
  <sheetViews>
    <sheetView workbookViewId="0">
      <selection activeCell="A99" sqref="A99:AX99"/>
    </sheetView>
  </sheetViews>
  <sheetFormatPr defaultColWidth="9.140625" defaultRowHeight="12.75" x14ac:dyDescent="0.2"/>
  <cols>
    <col min="1" max="256" width="9.140625" customWidth="1"/>
  </cols>
  <sheetData>
    <row r="1" spans="1:119" x14ac:dyDescent="0.2">
      <c r="A1">
        <f>ROW(Source!A24)</f>
        <v>24</v>
      </c>
      <c r="B1">
        <v>91035980</v>
      </c>
      <c r="C1">
        <v>91038731</v>
      </c>
      <c r="D1">
        <v>88645190</v>
      </c>
      <c r="E1">
        <v>1074</v>
      </c>
      <c r="F1">
        <v>1</v>
      </c>
      <c r="G1">
        <v>1074</v>
      </c>
      <c r="H1">
        <v>1</v>
      </c>
      <c r="I1" t="s">
        <v>102</v>
      </c>
      <c r="J1" t="s">
        <v>3</v>
      </c>
      <c r="K1" t="s">
        <v>103</v>
      </c>
      <c r="L1">
        <v>1191</v>
      </c>
      <c r="N1">
        <v>1013</v>
      </c>
      <c r="O1" t="s">
        <v>104</v>
      </c>
      <c r="P1" t="s">
        <v>104</v>
      </c>
      <c r="Q1">
        <v>1</v>
      </c>
      <c r="W1">
        <v>0</v>
      </c>
      <c r="X1">
        <v>476480486</v>
      </c>
      <c r="Y1">
        <f t="shared" ref="Y1:Y13" si="0">AT1</f>
        <v>14.44</v>
      </c>
      <c r="AA1">
        <v>0</v>
      </c>
      <c r="AB1">
        <v>0</v>
      </c>
      <c r="AC1">
        <v>0</v>
      </c>
      <c r="AD1">
        <v>0</v>
      </c>
      <c r="AE1">
        <v>0</v>
      </c>
      <c r="AF1">
        <v>0</v>
      </c>
      <c r="AG1">
        <v>0</v>
      </c>
      <c r="AH1">
        <v>0</v>
      </c>
      <c r="AI1">
        <v>1</v>
      </c>
      <c r="AJ1">
        <v>1</v>
      </c>
      <c r="AK1">
        <v>1</v>
      </c>
      <c r="AL1">
        <v>1</v>
      </c>
      <c r="AM1">
        <v>5</v>
      </c>
      <c r="AN1">
        <v>0</v>
      </c>
      <c r="AO1">
        <v>1</v>
      </c>
      <c r="AP1">
        <v>1</v>
      </c>
      <c r="AQ1">
        <v>0</v>
      </c>
      <c r="AR1">
        <v>0</v>
      </c>
      <c r="AS1" t="s">
        <v>3</v>
      </c>
      <c r="AT1">
        <v>14.44</v>
      </c>
      <c r="AU1" t="s">
        <v>3</v>
      </c>
      <c r="AV1">
        <v>1</v>
      </c>
      <c r="AW1">
        <v>2</v>
      </c>
      <c r="AX1">
        <v>91038732</v>
      </c>
      <c r="AY1">
        <v>1</v>
      </c>
      <c r="AZ1">
        <v>0</v>
      </c>
      <c r="BA1">
        <v>1</v>
      </c>
      <c r="BB1">
        <v>0</v>
      </c>
      <c r="BC1">
        <v>0</v>
      </c>
      <c r="BD1">
        <v>0</v>
      </c>
      <c r="BE1">
        <v>0</v>
      </c>
      <c r="BF1">
        <v>0</v>
      </c>
      <c r="BG1">
        <v>0</v>
      </c>
      <c r="BH1">
        <v>0</v>
      </c>
      <c r="BI1">
        <v>0</v>
      </c>
      <c r="BJ1">
        <v>0</v>
      </c>
      <c r="BK1">
        <v>0</v>
      </c>
      <c r="BL1">
        <v>0</v>
      </c>
      <c r="BM1">
        <v>0</v>
      </c>
      <c r="BN1">
        <v>0</v>
      </c>
      <c r="BO1">
        <v>0</v>
      </c>
      <c r="BP1">
        <v>0</v>
      </c>
      <c r="BQ1">
        <v>0</v>
      </c>
      <c r="BR1">
        <v>0</v>
      </c>
      <c r="BS1">
        <v>0</v>
      </c>
      <c r="BT1">
        <v>0</v>
      </c>
      <c r="BU1">
        <v>0</v>
      </c>
      <c r="BV1">
        <v>0</v>
      </c>
      <c r="BW1">
        <v>0</v>
      </c>
      <c r="CU1">
        <f>ROUND(AT1*Source!I24*AH1*AL1,2)</f>
        <v>0</v>
      </c>
      <c r="CV1">
        <f>ROUND(Y1*Source!I24,9)</f>
        <v>129.96</v>
      </c>
      <c r="CW1">
        <v>0</v>
      </c>
      <c r="CX1">
        <f>ROUND(Y1*Source!I24,9)</f>
        <v>129.96</v>
      </c>
      <c r="CY1">
        <f>AD1</f>
        <v>0</v>
      </c>
      <c r="CZ1">
        <f>AH1</f>
        <v>0</v>
      </c>
      <c r="DA1">
        <f>AL1</f>
        <v>1</v>
      </c>
      <c r="DB1">
        <f t="shared" ref="DB1:DB13" si="1">ROUND(ROUND(AT1*CZ1,2),6)</f>
        <v>0</v>
      </c>
      <c r="DC1">
        <f t="shared" ref="DC1:DC13" si="2">ROUND(ROUND(AT1*AG1,2),6)</f>
        <v>0</v>
      </c>
      <c r="DD1" t="s">
        <v>3</v>
      </c>
      <c r="DE1" t="s">
        <v>3</v>
      </c>
      <c r="DF1">
        <f>ROUND(ROUND(AE1,2)*CX1,2)</f>
        <v>0</v>
      </c>
      <c r="DG1">
        <f>ROUND(ROUND(AF1,2)*CX1,2)</f>
        <v>0</v>
      </c>
      <c r="DH1">
        <f>ROUND(ROUND(AG1,2)*CX1,2)</f>
        <v>0</v>
      </c>
      <c r="DI1">
        <f t="shared" ref="DI1:DI13" si="3">ROUND(ROUND(AH1,2)*CX1,2)</f>
        <v>0</v>
      </c>
      <c r="DJ1">
        <f>DI1</f>
        <v>0</v>
      </c>
      <c r="DK1">
        <v>0</v>
      </c>
      <c r="DL1" t="s">
        <v>3</v>
      </c>
      <c r="DM1">
        <v>0</v>
      </c>
      <c r="DN1" t="s">
        <v>3</v>
      </c>
      <c r="DO1">
        <v>0</v>
      </c>
    </row>
    <row r="2" spans="1:119" x14ac:dyDescent="0.2">
      <c r="A2">
        <f>ROW(Source!A24)</f>
        <v>24</v>
      </c>
      <c r="B2">
        <v>91035980</v>
      </c>
      <c r="C2">
        <v>91038731</v>
      </c>
      <c r="D2">
        <v>88691351</v>
      </c>
      <c r="E2">
        <v>1</v>
      </c>
      <c r="F2">
        <v>1</v>
      </c>
      <c r="G2">
        <v>1074</v>
      </c>
      <c r="H2">
        <v>3</v>
      </c>
      <c r="I2" t="s">
        <v>105</v>
      </c>
      <c r="J2" t="s">
        <v>106</v>
      </c>
      <c r="K2" t="s">
        <v>107</v>
      </c>
      <c r="L2">
        <v>1346</v>
      </c>
      <c r="N2">
        <v>1009</v>
      </c>
      <c r="O2" t="s">
        <v>108</v>
      </c>
      <c r="P2" t="s">
        <v>108</v>
      </c>
      <c r="Q2">
        <v>1</v>
      </c>
      <c r="W2">
        <v>0</v>
      </c>
      <c r="X2">
        <v>717624329</v>
      </c>
      <c r="Y2">
        <f t="shared" si="0"/>
        <v>0.2</v>
      </c>
      <c r="AA2">
        <v>53.68</v>
      </c>
      <c r="AB2">
        <v>0</v>
      </c>
      <c r="AC2">
        <v>0</v>
      </c>
      <c r="AD2">
        <v>0</v>
      </c>
      <c r="AE2">
        <v>1.61</v>
      </c>
      <c r="AF2">
        <v>0</v>
      </c>
      <c r="AG2">
        <v>0</v>
      </c>
      <c r="AH2">
        <v>0</v>
      </c>
      <c r="AI2">
        <v>33.340000000000003</v>
      </c>
      <c r="AJ2">
        <v>1</v>
      </c>
      <c r="AK2">
        <v>1</v>
      </c>
      <c r="AL2">
        <v>1</v>
      </c>
      <c r="AM2">
        <v>2</v>
      </c>
      <c r="AN2">
        <v>0</v>
      </c>
      <c r="AO2">
        <v>1</v>
      </c>
      <c r="AP2">
        <v>1</v>
      </c>
      <c r="AQ2">
        <v>0</v>
      </c>
      <c r="AR2">
        <v>0</v>
      </c>
      <c r="AS2" t="s">
        <v>3</v>
      </c>
      <c r="AT2">
        <v>0.2</v>
      </c>
      <c r="AU2" t="s">
        <v>3</v>
      </c>
      <c r="AV2">
        <v>0</v>
      </c>
      <c r="AW2">
        <v>2</v>
      </c>
      <c r="AX2">
        <v>91038733</v>
      </c>
      <c r="AY2">
        <v>1</v>
      </c>
      <c r="AZ2">
        <v>0</v>
      </c>
      <c r="BA2">
        <v>2</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CV2">
        <v>0</v>
      </c>
      <c r="CW2">
        <v>0</v>
      </c>
      <c r="CX2">
        <f>ROUND(Y2*Source!I24,9)</f>
        <v>1.8</v>
      </c>
      <c r="CY2">
        <f>AA2</f>
        <v>53.68</v>
      </c>
      <c r="CZ2">
        <f>AE2</f>
        <v>1.61</v>
      </c>
      <c r="DA2">
        <f>AI2</f>
        <v>33.340000000000003</v>
      </c>
      <c r="DB2">
        <f t="shared" si="1"/>
        <v>0.32</v>
      </c>
      <c r="DC2">
        <f t="shared" si="2"/>
        <v>0</v>
      </c>
      <c r="DD2" t="s">
        <v>3</v>
      </c>
      <c r="DE2" t="s">
        <v>3</v>
      </c>
      <c r="DF2">
        <f>ROUND(ROUND(AE2*AI2,2)*CX2,2)</f>
        <v>96.62</v>
      </c>
      <c r="DG2">
        <f>ROUND(ROUND(AF2,2)*CX2,2)</f>
        <v>0</v>
      </c>
      <c r="DH2">
        <f>ROUND(ROUND(AG2,2)*CX2,2)</f>
        <v>0</v>
      </c>
      <c r="DI2">
        <f t="shared" si="3"/>
        <v>0</v>
      </c>
      <c r="DJ2">
        <f>DF2</f>
        <v>96.62</v>
      </c>
      <c r="DK2">
        <v>0</v>
      </c>
      <c r="DL2" t="s">
        <v>3</v>
      </c>
      <c r="DM2">
        <v>0</v>
      </c>
      <c r="DN2" t="s">
        <v>3</v>
      </c>
      <c r="DO2">
        <v>0</v>
      </c>
    </row>
    <row r="3" spans="1:119" x14ac:dyDescent="0.2">
      <c r="A3">
        <f>ROW(Source!A24)</f>
        <v>24</v>
      </c>
      <c r="B3">
        <v>91035980</v>
      </c>
      <c r="C3">
        <v>91038731</v>
      </c>
      <c r="D3">
        <v>88691531</v>
      </c>
      <c r="E3">
        <v>1</v>
      </c>
      <c r="F3">
        <v>1</v>
      </c>
      <c r="G3">
        <v>1074</v>
      </c>
      <c r="H3">
        <v>3</v>
      </c>
      <c r="I3" t="s">
        <v>109</v>
      </c>
      <c r="J3" t="s">
        <v>110</v>
      </c>
      <c r="K3" t="s">
        <v>111</v>
      </c>
      <c r="L3">
        <v>1348</v>
      </c>
      <c r="N3">
        <v>1009</v>
      </c>
      <c r="O3" t="s">
        <v>112</v>
      </c>
      <c r="P3" t="s">
        <v>112</v>
      </c>
      <c r="Q3">
        <v>1000</v>
      </c>
      <c r="W3">
        <v>0</v>
      </c>
      <c r="X3">
        <v>871549948</v>
      </c>
      <c r="Y3">
        <f t="shared" si="0"/>
        <v>8.3000000000000001E-4</v>
      </c>
      <c r="AA3">
        <v>51149.98</v>
      </c>
      <c r="AB3">
        <v>0</v>
      </c>
      <c r="AC3">
        <v>0</v>
      </c>
      <c r="AD3">
        <v>0</v>
      </c>
      <c r="AE3">
        <v>7359.71</v>
      </c>
      <c r="AF3">
        <v>0</v>
      </c>
      <c r="AG3">
        <v>0</v>
      </c>
      <c r="AH3">
        <v>0</v>
      </c>
      <c r="AI3">
        <v>6.95</v>
      </c>
      <c r="AJ3">
        <v>1</v>
      </c>
      <c r="AK3">
        <v>1</v>
      </c>
      <c r="AL3">
        <v>1</v>
      </c>
      <c r="AM3">
        <v>2</v>
      </c>
      <c r="AN3">
        <v>0</v>
      </c>
      <c r="AO3">
        <v>1</v>
      </c>
      <c r="AP3">
        <v>1</v>
      </c>
      <c r="AQ3">
        <v>0</v>
      </c>
      <c r="AR3">
        <v>0</v>
      </c>
      <c r="AS3" t="s">
        <v>3</v>
      </c>
      <c r="AT3">
        <v>8.3000000000000001E-4</v>
      </c>
      <c r="AU3" t="s">
        <v>3</v>
      </c>
      <c r="AV3">
        <v>0</v>
      </c>
      <c r="AW3">
        <v>2</v>
      </c>
      <c r="AX3">
        <v>91038734</v>
      </c>
      <c r="AY3">
        <v>1</v>
      </c>
      <c r="AZ3">
        <v>0</v>
      </c>
      <c r="BA3">
        <v>3</v>
      </c>
      <c r="BB3">
        <v>0</v>
      </c>
      <c r="BC3">
        <v>0</v>
      </c>
      <c r="BD3">
        <v>0</v>
      </c>
      <c r="BE3">
        <v>0</v>
      </c>
      <c r="BF3">
        <v>0</v>
      </c>
      <c r="BG3">
        <v>0</v>
      </c>
      <c r="BH3">
        <v>0</v>
      </c>
      <c r="BI3">
        <v>0</v>
      </c>
      <c r="BJ3">
        <v>0</v>
      </c>
      <c r="BK3">
        <v>0</v>
      </c>
      <c r="BL3">
        <v>0</v>
      </c>
      <c r="BM3">
        <v>0</v>
      </c>
      <c r="BN3">
        <v>0</v>
      </c>
      <c r="BO3">
        <v>0</v>
      </c>
      <c r="BP3">
        <v>0</v>
      </c>
      <c r="BQ3">
        <v>0</v>
      </c>
      <c r="BR3">
        <v>0</v>
      </c>
      <c r="BS3">
        <v>0</v>
      </c>
      <c r="BT3">
        <v>0</v>
      </c>
      <c r="BU3">
        <v>0</v>
      </c>
      <c r="BV3">
        <v>0</v>
      </c>
      <c r="BW3">
        <v>0</v>
      </c>
      <c r="CV3">
        <v>0</v>
      </c>
      <c r="CW3">
        <v>0</v>
      </c>
      <c r="CX3">
        <f>ROUND(Y3*Source!I24,9)</f>
        <v>7.4700000000000001E-3</v>
      </c>
      <c r="CY3">
        <f>AA3</f>
        <v>51149.98</v>
      </c>
      <c r="CZ3">
        <f>AE3</f>
        <v>7359.71</v>
      </c>
      <c r="DA3">
        <f>AI3</f>
        <v>6.95</v>
      </c>
      <c r="DB3">
        <f t="shared" si="1"/>
        <v>6.11</v>
      </c>
      <c r="DC3">
        <f t="shared" si="2"/>
        <v>0</v>
      </c>
      <c r="DD3" t="s">
        <v>3</v>
      </c>
      <c r="DE3" t="s">
        <v>3</v>
      </c>
      <c r="DF3">
        <f>ROUND(ROUND(AE3*AI3,2)*CX3,2)</f>
        <v>382.09</v>
      </c>
      <c r="DG3">
        <f>ROUND(ROUND(AF3,2)*CX3,2)</f>
        <v>0</v>
      </c>
      <c r="DH3">
        <f>ROUND(ROUND(AG3,2)*CX3,2)</f>
        <v>0</v>
      </c>
      <c r="DI3">
        <f t="shared" si="3"/>
        <v>0</v>
      </c>
      <c r="DJ3">
        <f>DF3</f>
        <v>382.09</v>
      </c>
      <c r="DK3">
        <v>0</v>
      </c>
      <c r="DL3" t="s">
        <v>3</v>
      </c>
      <c r="DM3">
        <v>0</v>
      </c>
      <c r="DN3" t="s">
        <v>3</v>
      </c>
      <c r="DO3">
        <v>0</v>
      </c>
    </row>
    <row r="4" spans="1:119" x14ac:dyDescent="0.2">
      <c r="A4">
        <f>ROW(Source!A25)</f>
        <v>25</v>
      </c>
      <c r="B4">
        <v>91035980</v>
      </c>
      <c r="C4">
        <v>91107264</v>
      </c>
      <c r="D4">
        <v>88645190</v>
      </c>
      <c r="E4">
        <v>1074</v>
      </c>
      <c r="F4">
        <v>1</v>
      </c>
      <c r="G4">
        <v>1074</v>
      </c>
      <c r="H4">
        <v>1</v>
      </c>
      <c r="I4" t="s">
        <v>102</v>
      </c>
      <c r="J4" t="s">
        <v>3</v>
      </c>
      <c r="K4" t="s">
        <v>103</v>
      </c>
      <c r="L4">
        <v>1191</v>
      </c>
      <c r="N4">
        <v>1013</v>
      </c>
      <c r="O4" t="s">
        <v>104</v>
      </c>
      <c r="P4" t="s">
        <v>104</v>
      </c>
      <c r="Q4">
        <v>1</v>
      </c>
      <c r="W4">
        <v>0</v>
      </c>
      <c r="X4">
        <v>476480486</v>
      </c>
      <c r="Y4">
        <f t="shared" si="0"/>
        <v>0.82</v>
      </c>
      <c r="AA4">
        <v>0</v>
      </c>
      <c r="AB4">
        <v>0</v>
      </c>
      <c r="AC4">
        <v>0</v>
      </c>
      <c r="AD4">
        <v>0</v>
      </c>
      <c r="AE4">
        <v>0</v>
      </c>
      <c r="AF4">
        <v>0</v>
      </c>
      <c r="AG4">
        <v>0</v>
      </c>
      <c r="AH4">
        <v>0</v>
      </c>
      <c r="AI4">
        <v>1</v>
      </c>
      <c r="AJ4">
        <v>1</v>
      </c>
      <c r="AK4">
        <v>1</v>
      </c>
      <c r="AL4">
        <v>1</v>
      </c>
      <c r="AM4">
        <v>5</v>
      </c>
      <c r="AN4">
        <v>0</v>
      </c>
      <c r="AO4">
        <v>1</v>
      </c>
      <c r="AP4">
        <v>1</v>
      </c>
      <c r="AQ4">
        <v>0</v>
      </c>
      <c r="AR4">
        <v>0</v>
      </c>
      <c r="AS4" t="s">
        <v>3</v>
      </c>
      <c r="AT4">
        <v>0.82</v>
      </c>
      <c r="AU4" t="s">
        <v>3</v>
      </c>
      <c r="AV4">
        <v>1</v>
      </c>
      <c r="AW4">
        <v>2</v>
      </c>
      <c r="AX4">
        <v>91107265</v>
      </c>
      <c r="AY4">
        <v>1</v>
      </c>
      <c r="AZ4">
        <v>0</v>
      </c>
      <c r="BA4">
        <v>4</v>
      </c>
      <c r="BB4">
        <v>0</v>
      </c>
      <c r="BC4">
        <v>0</v>
      </c>
      <c r="BD4">
        <v>0</v>
      </c>
      <c r="BE4">
        <v>0</v>
      </c>
      <c r="BF4">
        <v>0</v>
      </c>
      <c r="BG4">
        <v>0</v>
      </c>
      <c r="BH4">
        <v>0</v>
      </c>
      <c r="BI4">
        <v>0</v>
      </c>
      <c r="BJ4">
        <v>0</v>
      </c>
      <c r="BK4">
        <v>0</v>
      </c>
      <c r="BL4">
        <v>0</v>
      </c>
      <c r="BM4">
        <v>0</v>
      </c>
      <c r="BN4">
        <v>0</v>
      </c>
      <c r="BO4">
        <v>0</v>
      </c>
      <c r="BP4">
        <v>0</v>
      </c>
      <c r="BQ4">
        <v>0</v>
      </c>
      <c r="BR4">
        <v>0</v>
      </c>
      <c r="BS4">
        <v>0</v>
      </c>
      <c r="BT4">
        <v>0</v>
      </c>
      <c r="BU4">
        <v>0</v>
      </c>
      <c r="BV4">
        <v>0</v>
      </c>
      <c r="BW4">
        <v>0</v>
      </c>
      <c r="CU4">
        <f>ROUND(AT4*Source!I25*AH4*AL4,2)</f>
        <v>0</v>
      </c>
      <c r="CV4">
        <f>ROUND(Y4*Source!I25,9)</f>
        <v>7.38</v>
      </c>
      <c r="CW4">
        <v>0</v>
      </c>
      <c r="CX4">
        <f>ROUND(Y4*Source!I25,9)</f>
        <v>7.38</v>
      </c>
      <c r="CY4">
        <f>AD4</f>
        <v>0</v>
      </c>
      <c r="CZ4">
        <f>AH4</f>
        <v>0</v>
      </c>
      <c r="DA4">
        <f>AL4</f>
        <v>1</v>
      </c>
      <c r="DB4">
        <f t="shared" si="1"/>
        <v>0</v>
      </c>
      <c r="DC4">
        <f t="shared" si="2"/>
        <v>0</v>
      </c>
      <c r="DD4" t="s">
        <v>3</v>
      </c>
      <c r="DE4" t="s">
        <v>3</v>
      </c>
      <c r="DF4">
        <f>ROUND(ROUND(AE4,2)*CX4,2)</f>
        <v>0</v>
      </c>
      <c r="DG4">
        <f>ROUND(ROUND(AF4,2)*CX4,2)</f>
        <v>0</v>
      </c>
      <c r="DH4">
        <f>ROUND(ROUND(AG4,2)*CX4,2)</f>
        <v>0</v>
      </c>
      <c r="DI4">
        <f t="shared" si="3"/>
        <v>0</v>
      </c>
      <c r="DJ4">
        <f>DI4</f>
        <v>0</v>
      </c>
      <c r="DK4">
        <v>0</v>
      </c>
      <c r="DL4" t="s">
        <v>3</v>
      </c>
      <c r="DM4">
        <v>0</v>
      </c>
      <c r="DN4" t="s">
        <v>3</v>
      </c>
      <c r="DO4">
        <v>0</v>
      </c>
    </row>
    <row r="5" spans="1:119" x14ac:dyDescent="0.2">
      <c r="A5">
        <f>ROW(Source!A25)</f>
        <v>25</v>
      </c>
      <c r="B5">
        <v>91035980</v>
      </c>
      <c r="C5">
        <v>91107264</v>
      </c>
      <c r="D5">
        <v>88721891</v>
      </c>
      <c r="E5">
        <v>1</v>
      </c>
      <c r="F5">
        <v>1</v>
      </c>
      <c r="G5">
        <v>1074</v>
      </c>
      <c r="H5">
        <v>2</v>
      </c>
      <c r="I5" t="s">
        <v>113</v>
      </c>
      <c r="J5" t="s">
        <v>114</v>
      </c>
      <c r="K5" t="s">
        <v>115</v>
      </c>
      <c r="L5">
        <v>1368</v>
      </c>
      <c r="N5">
        <v>1011</v>
      </c>
      <c r="O5" t="s">
        <v>116</v>
      </c>
      <c r="P5" t="s">
        <v>116</v>
      </c>
      <c r="Q5">
        <v>1</v>
      </c>
      <c r="W5">
        <v>0</v>
      </c>
      <c r="X5">
        <v>1657856178</v>
      </c>
      <c r="Y5">
        <f t="shared" si="0"/>
        <v>0.04</v>
      </c>
      <c r="AA5">
        <v>0</v>
      </c>
      <c r="AB5">
        <v>755.5</v>
      </c>
      <c r="AC5">
        <v>484.86</v>
      </c>
      <c r="AD5">
        <v>0</v>
      </c>
      <c r="AE5">
        <v>0</v>
      </c>
      <c r="AF5">
        <v>43.95</v>
      </c>
      <c r="AG5">
        <v>12.62</v>
      </c>
      <c r="AH5">
        <v>0</v>
      </c>
      <c r="AI5">
        <v>1</v>
      </c>
      <c r="AJ5">
        <v>17.190000000000001</v>
      </c>
      <c r="AK5">
        <v>38.42</v>
      </c>
      <c r="AL5">
        <v>1</v>
      </c>
      <c r="AM5">
        <v>2</v>
      </c>
      <c r="AN5">
        <v>0</v>
      </c>
      <c r="AO5">
        <v>1</v>
      </c>
      <c r="AP5">
        <v>1</v>
      </c>
      <c r="AQ5">
        <v>0</v>
      </c>
      <c r="AR5">
        <v>0</v>
      </c>
      <c r="AS5" t="s">
        <v>3</v>
      </c>
      <c r="AT5">
        <v>0.04</v>
      </c>
      <c r="AU5" t="s">
        <v>3</v>
      </c>
      <c r="AV5">
        <v>0</v>
      </c>
      <c r="AW5">
        <v>2</v>
      </c>
      <c r="AX5">
        <v>91107266</v>
      </c>
      <c r="AY5">
        <v>1</v>
      </c>
      <c r="AZ5">
        <v>0</v>
      </c>
      <c r="BA5">
        <v>5</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CV5">
        <v>0</v>
      </c>
      <c r="CW5">
        <f>ROUND(Y5*Source!I25*DO5,9)</f>
        <v>0</v>
      </c>
      <c r="CX5">
        <f>ROUND(Y5*Source!I25,9)</f>
        <v>0.36</v>
      </c>
      <c r="CY5">
        <f>AB5</f>
        <v>755.5</v>
      </c>
      <c r="CZ5">
        <f>AF5</f>
        <v>43.95</v>
      </c>
      <c r="DA5">
        <f>AJ5</f>
        <v>17.190000000000001</v>
      </c>
      <c r="DB5">
        <f t="shared" si="1"/>
        <v>1.76</v>
      </c>
      <c r="DC5">
        <f t="shared" si="2"/>
        <v>0.5</v>
      </c>
      <c r="DD5" t="s">
        <v>3</v>
      </c>
      <c r="DE5" t="s">
        <v>3</v>
      </c>
      <c r="DF5">
        <f>ROUND(ROUND(AE5,2)*CX5,2)</f>
        <v>0</v>
      </c>
      <c r="DG5">
        <f>ROUND(ROUND(AF5*AJ5,2)*CX5,2)</f>
        <v>271.98</v>
      </c>
      <c r="DH5">
        <f>ROUND(ROUND(AG5*AK5,2)*CX5,2)</f>
        <v>174.55</v>
      </c>
      <c r="DI5">
        <f t="shared" si="3"/>
        <v>0</v>
      </c>
      <c r="DJ5">
        <f>DG5</f>
        <v>271.98</v>
      </c>
      <c r="DK5">
        <v>0</v>
      </c>
      <c r="DL5" t="s">
        <v>3</v>
      </c>
      <c r="DM5">
        <v>0</v>
      </c>
      <c r="DN5" t="s">
        <v>3</v>
      </c>
      <c r="DO5">
        <v>0</v>
      </c>
    </row>
    <row r="6" spans="1:119" x14ac:dyDescent="0.2">
      <c r="A6">
        <f>ROW(Source!A25)</f>
        <v>25</v>
      </c>
      <c r="B6">
        <v>91035980</v>
      </c>
      <c r="C6">
        <v>91107264</v>
      </c>
      <c r="D6">
        <v>88692001</v>
      </c>
      <c r="E6">
        <v>1</v>
      </c>
      <c r="F6">
        <v>1</v>
      </c>
      <c r="G6">
        <v>1074</v>
      </c>
      <c r="H6">
        <v>3</v>
      </c>
      <c r="I6" t="s">
        <v>117</v>
      </c>
      <c r="J6" t="s">
        <v>118</v>
      </c>
      <c r="K6" t="s">
        <v>119</v>
      </c>
      <c r="L6">
        <v>1346</v>
      </c>
      <c r="N6">
        <v>1009</v>
      </c>
      <c r="O6" t="s">
        <v>108</v>
      </c>
      <c r="P6" t="s">
        <v>108</v>
      </c>
      <c r="Q6">
        <v>1</v>
      </c>
      <c r="W6">
        <v>0</v>
      </c>
      <c r="X6">
        <v>-179647104</v>
      </c>
      <c r="Y6">
        <f t="shared" si="0"/>
        <v>2E-3</v>
      </c>
      <c r="AA6">
        <v>1355.51</v>
      </c>
      <c r="AB6">
        <v>0</v>
      </c>
      <c r="AC6">
        <v>0</v>
      </c>
      <c r="AD6">
        <v>0</v>
      </c>
      <c r="AE6">
        <v>11.25</v>
      </c>
      <c r="AF6">
        <v>0</v>
      </c>
      <c r="AG6">
        <v>0</v>
      </c>
      <c r="AH6">
        <v>0</v>
      </c>
      <c r="AI6">
        <v>120.49</v>
      </c>
      <c r="AJ6">
        <v>1</v>
      </c>
      <c r="AK6">
        <v>1</v>
      </c>
      <c r="AL6">
        <v>1</v>
      </c>
      <c r="AM6">
        <v>2</v>
      </c>
      <c r="AN6">
        <v>0</v>
      </c>
      <c r="AO6">
        <v>1</v>
      </c>
      <c r="AP6">
        <v>1</v>
      </c>
      <c r="AQ6">
        <v>0</v>
      </c>
      <c r="AR6">
        <v>0</v>
      </c>
      <c r="AS6" t="s">
        <v>3</v>
      </c>
      <c r="AT6">
        <v>2E-3</v>
      </c>
      <c r="AU6" t="s">
        <v>3</v>
      </c>
      <c r="AV6">
        <v>0</v>
      </c>
      <c r="AW6">
        <v>2</v>
      </c>
      <c r="AX6">
        <v>91107267</v>
      </c>
      <c r="AY6">
        <v>1</v>
      </c>
      <c r="AZ6">
        <v>0</v>
      </c>
      <c r="BA6">
        <v>6</v>
      </c>
      <c r="BB6">
        <v>0</v>
      </c>
      <c r="BC6">
        <v>0</v>
      </c>
      <c r="BD6">
        <v>0</v>
      </c>
      <c r="BE6">
        <v>0</v>
      </c>
      <c r="BF6">
        <v>0</v>
      </c>
      <c r="BG6">
        <v>0</v>
      </c>
      <c r="BH6">
        <v>0</v>
      </c>
      <c r="BI6">
        <v>0</v>
      </c>
      <c r="BJ6">
        <v>0</v>
      </c>
      <c r="BK6">
        <v>0</v>
      </c>
      <c r="BL6">
        <v>0</v>
      </c>
      <c r="BM6">
        <v>0</v>
      </c>
      <c r="BN6">
        <v>0</v>
      </c>
      <c r="BO6">
        <v>0</v>
      </c>
      <c r="BP6">
        <v>0</v>
      </c>
      <c r="BQ6">
        <v>0</v>
      </c>
      <c r="BR6">
        <v>0</v>
      </c>
      <c r="BS6">
        <v>0</v>
      </c>
      <c r="BT6">
        <v>0</v>
      </c>
      <c r="BU6">
        <v>0</v>
      </c>
      <c r="BV6">
        <v>0</v>
      </c>
      <c r="BW6">
        <v>0</v>
      </c>
      <c r="CV6">
        <v>0</v>
      </c>
      <c r="CW6">
        <v>0</v>
      </c>
      <c r="CX6">
        <f>ROUND(Y6*Source!I25,9)</f>
        <v>1.7999999999999999E-2</v>
      </c>
      <c r="CY6">
        <f>AA6</f>
        <v>1355.51</v>
      </c>
      <c r="CZ6">
        <f>AE6</f>
        <v>11.25</v>
      </c>
      <c r="DA6">
        <f>AI6</f>
        <v>120.49</v>
      </c>
      <c r="DB6">
        <f t="shared" si="1"/>
        <v>0.02</v>
      </c>
      <c r="DC6">
        <f t="shared" si="2"/>
        <v>0</v>
      </c>
      <c r="DD6" t="s">
        <v>3</v>
      </c>
      <c r="DE6" t="s">
        <v>3</v>
      </c>
      <c r="DF6">
        <f>ROUND(ROUND(AE6*AI6,2)*CX6,2)</f>
        <v>24.4</v>
      </c>
      <c r="DG6">
        <f>ROUND(ROUND(AF6,2)*CX6,2)</f>
        <v>0</v>
      </c>
      <c r="DH6">
        <f>ROUND(ROUND(AG6,2)*CX6,2)</f>
        <v>0</v>
      </c>
      <c r="DI6">
        <f t="shared" si="3"/>
        <v>0</v>
      </c>
      <c r="DJ6">
        <f>DF6</f>
        <v>24.4</v>
      </c>
      <c r="DK6">
        <v>0</v>
      </c>
      <c r="DL6" t="s">
        <v>3</v>
      </c>
      <c r="DM6">
        <v>0</v>
      </c>
      <c r="DN6" t="s">
        <v>3</v>
      </c>
      <c r="DO6">
        <v>0</v>
      </c>
    </row>
    <row r="7" spans="1:119" x14ac:dyDescent="0.2">
      <c r="A7">
        <f>ROW(Source!A25)</f>
        <v>25</v>
      </c>
      <c r="B7">
        <v>91035980</v>
      </c>
      <c r="C7">
        <v>91107264</v>
      </c>
      <c r="D7">
        <v>88691351</v>
      </c>
      <c r="E7">
        <v>1</v>
      </c>
      <c r="F7">
        <v>1</v>
      </c>
      <c r="G7">
        <v>1074</v>
      </c>
      <c r="H7">
        <v>3</v>
      </c>
      <c r="I7" t="s">
        <v>105</v>
      </c>
      <c r="J7" t="s">
        <v>106</v>
      </c>
      <c r="K7" t="s">
        <v>107</v>
      </c>
      <c r="L7">
        <v>1346</v>
      </c>
      <c r="N7">
        <v>1009</v>
      </c>
      <c r="O7" t="s">
        <v>108</v>
      </c>
      <c r="P7" t="s">
        <v>108</v>
      </c>
      <c r="Q7">
        <v>1</v>
      </c>
      <c r="W7">
        <v>0</v>
      </c>
      <c r="X7">
        <v>717624329</v>
      </c>
      <c r="Y7">
        <f t="shared" si="0"/>
        <v>4.0000000000000001E-3</v>
      </c>
      <c r="AA7">
        <v>53.68</v>
      </c>
      <c r="AB7">
        <v>0</v>
      </c>
      <c r="AC7">
        <v>0</v>
      </c>
      <c r="AD7">
        <v>0</v>
      </c>
      <c r="AE7">
        <v>1.61</v>
      </c>
      <c r="AF7">
        <v>0</v>
      </c>
      <c r="AG7">
        <v>0</v>
      </c>
      <c r="AH7">
        <v>0</v>
      </c>
      <c r="AI7">
        <v>33.340000000000003</v>
      </c>
      <c r="AJ7">
        <v>1</v>
      </c>
      <c r="AK7">
        <v>1</v>
      </c>
      <c r="AL7">
        <v>1</v>
      </c>
      <c r="AM7">
        <v>2</v>
      </c>
      <c r="AN7">
        <v>0</v>
      </c>
      <c r="AO7">
        <v>1</v>
      </c>
      <c r="AP7">
        <v>1</v>
      </c>
      <c r="AQ7">
        <v>0</v>
      </c>
      <c r="AR7">
        <v>0</v>
      </c>
      <c r="AS7" t="s">
        <v>3</v>
      </c>
      <c r="AT7">
        <v>4.0000000000000001E-3</v>
      </c>
      <c r="AU7" t="s">
        <v>3</v>
      </c>
      <c r="AV7">
        <v>0</v>
      </c>
      <c r="AW7">
        <v>2</v>
      </c>
      <c r="AX7">
        <v>91107268</v>
      </c>
      <c r="AY7">
        <v>1</v>
      </c>
      <c r="AZ7">
        <v>0</v>
      </c>
      <c r="BA7">
        <v>7</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CV7">
        <v>0</v>
      </c>
      <c r="CW7">
        <v>0</v>
      </c>
      <c r="CX7">
        <f>ROUND(Y7*Source!I25,9)</f>
        <v>3.5999999999999997E-2</v>
      </c>
      <c r="CY7">
        <f>AA7</f>
        <v>53.68</v>
      </c>
      <c r="CZ7">
        <f>AE7</f>
        <v>1.61</v>
      </c>
      <c r="DA7">
        <f>AI7</f>
        <v>33.340000000000003</v>
      </c>
      <c r="DB7">
        <f t="shared" si="1"/>
        <v>0.01</v>
      </c>
      <c r="DC7">
        <f t="shared" si="2"/>
        <v>0</v>
      </c>
      <c r="DD7" t="s">
        <v>3</v>
      </c>
      <c r="DE7" t="s">
        <v>3</v>
      </c>
      <c r="DF7">
        <f>ROUND(ROUND(AE7*AI7,2)*CX7,2)</f>
        <v>1.93</v>
      </c>
      <c r="DG7">
        <f>ROUND(ROUND(AF7,2)*CX7,2)</f>
        <v>0</v>
      </c>
      <c r="DH7">
        <f>ROUND(ROUND(AG7,2)*CX7,2)</f>
        <v>0</v>
      </c>
      <c r="DI7">
        <f t="shared" si="3"/>
        <v>0</v>
      </c>
      <c r="DJ7">
        <f>DF7</f>
        <v>1.93</v>
      </c>
      <c r="DK7">
        <v>0</v>
      </c>
      <c r="DL7" t="s">
        <v>3</v>
      </c>
      <c r="DM7">
        <v>0</v>
      </c>
      <c r="DN7" t="s">
        <v>3</v>
      </c>
      <c r="DO7">
        <v>0</v>
      </c>
    </row>
    <row r="8" spans="1:119" x14ac:dyDescent="0.2">
      <c r="A8">
        <f>ROW(Source!A25)</f>
        <v>25</v>
      </c>
      <c r="B8">
        <v>91035980</v>
      </c>
      <c r="C8">
        <v>91107264</v>
      </c>
      <c r="D8">
        <v>88691762</v>
      </c>
      <c r="E8">
        <v>1</v>
      </c>
      <c r="F8">
        <v>1</v>
      </c>
      <c r="G8">
        <v>1074</v>
      </c>
      <c r="H8">
        <v>3</v>
      </c>
      <c r="I8" t="s">
        <v>120</v>
      </c>
      <c r="J8" t="s">
        <v>121</v>
      </c>
      <c r="K8" t="s">
        <v>122</v>
      </c>
      <c r="L8">
        <v>1348</v>
      </c>
      <c r="N8">
        <v>1009</v>
      </c>
      <c r="O8" t="s">
        <v>112</v>
      </c>
      <c r="P8" t="s">
        <v>112</v>
      </c>
      <c r="Q8">
        <v>1000</v>
      </c>
      <c r="W8">
        <v>0</v>
      </c>
      <c r="X8">
        <v>-1352824825</v>
      </c>
      <c r="Y8">
        <f t="shared" si="0"/>
        <v>9.9999999999999995E-7</v>
      </c>
      <c r="AA8">
        <v>19498.47</v>
      </c>
      <c r="AB8">
        <v>0</v>
      </c>
      <c r="AC8">
        <v>0</v>
      </c>
      <c r="AD8">
        <v>0</v>
      </c>
      <c r="AE8">
        <v>18054.14</v>
      </c>
      <c r="AF8">
        <v>0</v>
      </c>
      <c r="AG8">
        <v>0</v>
      </c>
      <c r="AH8">
        <v>0</v>
      </c>
      <c r="AI8">
        <v>1.08</v>
      </c>
      <c r="AJ8">
        <v>1</v>
      </c>
      <c r="AK8">
        <v>1</v>
      </c>
      <c r="AL8">
        <v>1</v>
      </c>
      <c r="AM8">
        <v>2</v>
      </c>
      <c r="AN8">
        <v>0</v>
      </c>
      <c r="AO8">
        <v>1</v>
      </c>
      <c r="AP8">
        <v>1</v>
      </c>
      <c r="AQ8">
        <v>0</v>
      </c>
      <c r="AR8">
        <v>0</v>
      </c>
      <c r="AS8" t="s">
        <v>3</v>
      </c>
      <c r="AT8">
        <v>9.9999999999999995E-7</v>
      </c>
      <c r="AU8" t="s">
        <v>3</v>
      </c>
      <c r="AV8">
        <v>0</v>
      </c>
      <c r="AW8">
        <v>2</v>
      </c>
      <c r="AX8">
        <v>91107269</v>
      </c>
      <c r="AY8">
        <v>1</v>
      </c>
      <c r="AZ8">
        <v>0</v>
      </c>
      <c r="BA8">
        <v>8</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CV8">
        <v>0</v>
      </c>
      <c r="CW8">
        <v>0</v>
      </c>
      <c r="CX8">
        <f>ROUND(Y8*Source!I25,9)</f>
        <v>9.0000000000000002E-6</v>
      </c>
      <c r="CY8">
        <f>AA8</f>
        <v>19498.47</v>
      </c>
      <c r="CZ8">
        <f>AE8</f>
        <v>18054.14</v>
      </c>
      <c r="DA8">
        <f>AI8</f>
        <v>1.08</v>
      </c>
      <c r="DB8">
        <f t="shared" si="1"/>
        <v>0.02</v>
      </c>
      <c r="DC8">
        <f t="shared" si="2"/>
        <v>0</v>
      </c>
      <c r="DD8" t="s">
        <v>3</v>
      </c>
      <c r="DE8" t="s">
        <v>3</v>
      </c>
      <c r="DF8">
        <f>ROUND(ROUND(AE8*AI8,2)*CX8,2)</f>
        <v>0.18</v>
      </c>
      <c r="DG8">
        <f>ROUND(ROUND(AF8,2)*CX8,2)</f>
        <v>0</v>
      </c>
      <c r="DH8">
        <f>ROUND(ROUND(AG8,2)*CX8,2)</f>
        <v>0</v>
      </c>
      <c r="DI8">
        <f t="shared" si="3"/>
        <v>0</v>
      </c>
      <c r="DJ8">
        <f>DF8</f>
        <v>0.18</v>
      </c>
      <c r="DK8">
        <v>0</v>
      </c>
      <c r="DL8" t="s">
        <v>3</v>
      </c>
      <c r="DM8">
        <v>0</v>
      </c>
      <c r="DN8" t="s">
        <v>3</v>
      </c>
      <c r="DO8">
        <v>0</v>
      </c>
    </row>
    <row r="9" spans="1:119" x14ac:dyDescent="0.2">
      <c r="A9">
        <f>ROW(Source!A26)</f>
        <v>26</v>
      </c>
      <c r="B9">
        <v>91035980</v>
      </c>
      <c r="C9">
        <v>91107270</v>
      </c>
      <c r="D9">
        <v>88645190</v>
      </c>
      <c r="E9">
        <v>1074</v>
      </c>
      <c r="F9">
        <v>1</v>
      </c>
      <c r="G9">
        <v>1074</v>
      </c>
      <c r="H9">
        <v>1</v>
      </c>
      <c r="I9" t="s">
        <v>102</v>
      </c>
      <c r="J9" t="s">
        <v>3</v>
      </c>
      <c r="K9" t="s">
        <v>103</v>
      </c>
      <c r="L9">
        <v>1191</v>
      </c>
      <c r="N9">
        <v>1013</v>
      </c>
      <c r="O9" t="s">
        <v>104</v>
      </c>
      <c r="P9" t="s">
        <v>104</v>
      </c>
      <c r="Q9">
        <v>1</v>
      </c>
      <c r="W9">
        <v>0</v>
      </c>
      <c r="X9">
        <v>476480486</v>
      </c>
      <c r="Y9">
        <f t="shared" si="0"/>
        <v>0.98</v>
      </c>
      <c r="AA9">
        <v>0</v>
      </c>
      <c r="AB9">
        <v>0</v>
      </c>
      <c r="AC9">
        <v>0</v>
      </c>
      <c r="AD9">
        <v>0</v>
      </c>
      <c r="AE9">
        <v>0</v>
      </c>
      <c r="AF9">
        <v>0</v>
      </c>
      <c r="AG9">
        <v>0</v>
      </c>
      <c r="AH9">
        <v>0</v>
      </c>
      <c r="AI9">
        <v>1</v>
      </c>
      <c r="AJ9">
        <v>1</v>
      </c>
      <c r="AK9">
        <v>1</v>
      </c>
      <c r="AL9">
        <v>1</v>
      </c>
      <c r="AM9">
        <v>5</v>
      </c>
      <c r="AN9">
        <v>0</v>
      </c>
      <c r="AO9">
        <v>1</v>
      </c>
      <c r="AP9">
        <v>1</v>
      </c>
      <c r="AQ9">
        <v>0</v>
      </c>
      <c r="AR9">
        <v>0</v>
      </c>
      <c r="AS9" t="s">
        <v>3</v>
      </c>
      <c r="AT9">
        <v>0.98</v>
      </c>
      <c r="AU9" t="s">
        <v>3</v>
      </c>
      <c r="AV9">
        <v>1</v>
      </c>
      <c r="AW9">
        <v>2</v>
      </c>
      <c r="AX9">
        <v>91107271</v>
      </c>
      <c r="AY9">
        <v>1</v>
      </c>
      <c r="AZ9">
        <v>0</v>
      </c>
      <c r="BA9">
        <v>9</v>
      </c>
      <c r="BB9">
        <v>0</v>
      </c>
      <c r="BC9">
        <v>0</v>
      </c>
      <c r="BD9">
        <v>0</v>
      </c>
      <c r="BE9">
        <v>0</v>
      </c>
      <c r="BF9">
        <v>0</v>
      </c>
      <c r="BG9">
        <v>0</v>
      </c>
      <c r="BH9">
        <v>0</v>
      </c>
      <c r="BI9">
        <v>0</v>
      </c>
      <c r="BJ9">
        <v>0</v>
      </c>
      <c r="BK9">
        <v>0</v>
      </c>
      <c r="BL9">
        <v>0</v>
      </c>
      <c r="BM9">
        <v>0</v>
      </c>
      <c r="BN9">
        <v>0</v>
      </c>
      <c r="BO9">
        <v>0</v>
      </c>
      <c r="BP9">
        <v>0</v>
      </c>
      <c r="BQ9">
        <v>0</v>
      </c>
      <c r="BR9">
        <v>0</v>
      </c>
      <c r="BS9">
        <v>0</v>
      </c>
      <c r="BT9">
        <v>0</v>
      </c>
      <c r="BU9">
        <v>0</v>
      </c>
      <c r="BV9">
        <v>0</v>
      </c>
      <c r="BW9">
        <v>0</v>
      </c>
      <c r="CU9">
        <f>ROUND(AT9*Source!I26*AH9*AL9,2)</f>
        <v>0</v>
      </c>
      <c r="CV9">
        <f>ROUND(Y9*Source!I26,9)</f>
        <v>8.82</v>
      </c>
      <c r="CW9">
        <v>0</v>
      </c>
      <c r="CX9">
        <f>ROUND(Y9*Source!I26,9)</f>
        <v>8.82</v>
      </c>
      <c r="CY9">
        <f>AD9</f>
        <v>0</v>
      </c>
      <c r="CZ9">
        <f>AH9</f>
        <v>0</v>
      </c>
      <c r="DA9">
        <f>AL9</f>
        <v>1</v>
      </c>
      <c r="DB9">
        <f t="shared" si="1"/>
        <v>0</v>
      </c>
      <c r="DC9">
        <f t="shared" si="2"/>
        <v>0</v>
      </c>
      <c r="DD9" t="s">
        <v>3</v>
      </c>
      <c r="DE9" t="s">
        <v>3</v>
      </c>
      <c r="DF9">
        <f>ROUND(ROUND(AE9,2)*CX9,2)</f>
        <v>0</v>
      </c>
      <c r="DG9">
        <f>ROUND(ROUND(AF9,2)*CX9,2)</f>
        <v>0</v>
      </c>
      <c r="DH9">
        <f>ROUND(ROUND(AG9,2)*CX9,2)</f>
        <v>0</v>
      </c>
      <c r="DI9">
        <f t="shared" si="3"/>
        <v>0</v>
      </c>
      <c r="DJ9">
        <f>DI9</f>
        <v>0</v>
      </c>
      <c r="DK9">
        <v>0</v>
      </c>
      <c r="DL9" t="s">
        <v>3</v>
      </c>
      <c r="DM9">
        <v>0</v>
      </c>
      <c r="DN9" t="s">
        <v>3</v>
      </c>
      <c r="DO9">
        <v>0</v>
      </c>
    </row>
    <row r="10" spans="1:119" x14ac:dyDescent="0.2">
      <c r="A10">
        <f>ROW(Source!A26)</f>
        <v>26</v>
      </c>
      <c r="B10">
        <v>91035980</v>
      </c>
      <c r="C10">
        <v>91107270</v>
      </c>
      <c r="D10">
        <v>88721891</v>
      </c>
      <c r="E10">
        <v>1</v>
      </c>
      <c r="F10">
        <v>1</v>
      </c>
      <c r="G10">
        <v>1074</v>
      </c>
      <c r="H10">
        <v>2</v>
      </c>
      <c r="I10" t="s">
        <v>113</v>
      </c>
      <c r="J10" t="s">
        <v>114</v>
      </c>
      <c r="K10" t="s">
        <v>115</v>
      </c>
      <c r="L10">
        <v>1368</v>
      </c>
      <c r="N10">
        <v>1011</v>
      </c>
      <c r="O10" t="s">
        <v>116</v>
      </c>
      <c r="P10" t="s">
        <v>116</v>
      </c>
      <c r="Q10">
        <v>1</v>
      </c>
      <c r="W10">
        <v>0</v>
      </c>
      <c r="X10">
        <v>1657856178</v>
      </c>
      <c r="Y10">
        <f t="shared" si="0"/>
        <v>0.05</v>
      </c>
      <c r="AA10">
        <v>0</v>
      </c>
      <c r="AB10">
        <v>755.5</v>
      </c>
      <c r="AC10">
        <v>484.86</v>
      </c>
      <c r="AD10">
        <v>0</v>
      </c>
      <c r="AE10">
        <v>0</v>
      </c>
      <c r="AF10">
        <v>43.95</v>
      </c>
      <c r="AG10">
        <v>12.62</v>
      </c>
      <c r="AH10">
        <v>0</v>
      </c>
      <c r="AI10">
        <v>1</v>
      </c>
      <c r="AJ10">
        <v>17.190000000000001</v>
      </c>
      <c r="AK10">
        <v>38.42</v>
      </c>
      <c r="AL10">
        <v>1</v>
      </c>
      <c r="AM10">
        <v>2</v>
      </c>
      <c r="AN10">
        <v>0</v>
      </c>
      <c r="AO10">
        <v>1</v>
      </c>
      <c r="AP10">
        <v>1</v>
      </c>
      <c r="AQ10">
        <v>0</v>
      </c>
      <c r="AR10">
        <v>0</v>
      </c>
      <c r="AS10" t="s">
        <v>3</v>
      </c>
      <c r="AT10">
        <v>0.05</v>
      </c>
      <c r="AU10" t="s">
        <v>3</v>
      </c>
      <c r="AV10">
        <v>0</v>
      </c>
      <c r="AW10">
        <v>2</v>
      </c>
      <c r="AX10">
        <v>91107272</v>
      </c>
      <c r="AY10">
        <v>1</v>
      </c>
      <c r="AZ10">
        <v>0</v>
      </c>
      <c r="BA10">
        <v>10</v>
      </c>
      <c r="BB10">
        <v>0</v>
      </c>
      <c r="BC10">
        <v>0</v>
      </c>
      <c r="BD10">
        <v>0</v>
      </c>
      <c r="BE10">
        <v>0</v>
      </c>
      <c r="BF10">
        <v>0</v>
      </c>
      <c r="BG10">
        <v>0</v>
      </c>
      <c r="BH10">
        <v>0</v>
      </c>
      <c r="BI10">
        <v>0</v>
      </c>
      <c r="BJ10">
        <v>0</v>
      </c>
      <c r="BK10">
        <v>0</v>
      </c>
      <c r="BL10">
        <v>0</v>
      </c>
      <c r="BM10">
        <v>0</v>
      </c>
      <c r="BN10">
        <v>0</v>
      </c>
      <c r="BO10">
        <v>0</v>
      </c>
      <c r="BP10">
        <v>0</v>
      </c>
      <c r="BQ10">
        <v>0</v>
      </c>
      <c r="BR10">
        <v>0</v>
      </c>
      <c r="BS10">
        <v>0</v>
      </c>
      <c r="BT10">
        <v>0</v>
      </c>
      <c r="BU10">
        <v>0</v>
      </c>
      <c r="BV10">
        <v>0</v>
      </c>
      <c r="BW10">
        <v>0</v>
      </c>
      <c r="CV10">
        <v>0</v>
      </c>
      <c r="CW10">
        <f>ROUND(Y10*Source!I26*DO10,9)</f>
        <v>0</v>
      </c>
      <c r="CX10">
        <f>ROUND(Y10*Source!I26,9)</f>
        <v>0.45</v>
      </c>
      <c r="CY10">
        <f>AB10</f>
        <v>755.5</v>
      </c>
      <c r="CZ10">
        <f>AF10</f>
        <v>43.95</v>
      </c>
      <c r="DA10">
        <f>AJ10</f>
        <v>17.190000000000001</v>
      </c>
      <c r="DB10">
        <f t="shared" si="1"/>
        <v>2.2000000000000002</v>
      </c>
      <c r="DC10">
        <f t="shared" si="2"/>
        <v>0.63</v>
      </c>
      <c r="DD10" t="s">
        <v>3</v>
      </c>
      <c r="DE10" t="s">
        <v>3</v>
      </c>
      <c r="DF10">
        <f>ROUND(ROUND(AE10,2)*CX10,2)</f>
        <v>0</v>
      </c>
      <c r="DG10">
        <f>ROUND(ROUND(AF10*AJ10,2)*CX10,2)</f>
        <v>339.98</v>
      </c>
      <c r="DH10">
        <f>ROUND(ROUND(AG10*AK10,2)*CX10,2)</f>
        <v>218.19</v>
      </c>
      <c r="DI10">
        <f t="shared" si="3"/>
        <v>0</v>
      </c>
      <c r="DJ10">
        <f>DG10</f>
        <v>339.98</v>
      </c>
      <c r="DK10">
        <v>0</v>
      </c>
      <c r="DL10" t="s">
        <v>3</v>
      </c>
      <c r="DM10">
        <v>0</v>
      </c>
      <c r="DN10" t="s">
        <v>3</v>
      </c>
      <c r="DO10">
        <v>0</v>
      </c>
    </row>
    <row r="11" spans="1:119" x14ac:dyDescent="0.2">
      <c r="A11">
        <f>ROW(Source!A26)</f>
        <v>26</v>
      </c>
      <c r="B11">
        <v>91035980</v>
      </c>
      <c r="C11">
        <v>91107270</v>
      </c>
      <c r="D11">
        <v>88692001</v>
      </c>
      <c r="E11">
        <v>1</v>
      </c>
      <c r="F11">
        <v>1</v>
      </c>
      <c r="G11">
        <v>1074</v>
      </c>
      <c r="H11">
        <v>3</v>
      </c>
      <c r="I11" t="s">
        <v>117</v>
      </c>
      <c r="J11" t="s">
        <v>118</v>
      </c>
      <c r="K11" t="s">
        <v>119</v>
      </c>
      <c r="L11">
        <v>1346</v>
      </c>
      <c r="N11">
        <v>1009</v>
      </c>
      <c r="O11" t="s">
        <v>108</v>
      </c>
      <c r="P11" t="s">
        <v>108</v>
      </c>
      <c r="Q11">
        <v>1</v>
      </c>
      <c r="W11">
        <v>0</v>
      </c>
      <c r="X11">
        <v>-179647104</v>
      </c>
      <c r="Y11">
        <f t="shared" si="0"/>
        <v>2E-3</v>
      </c>
      <c r="AA11">
        <v>1355.51</v>
      </c>
      <c r="AB11">
        <v>0</v>
      </c>
      <c r="AC11">
        <v>0</v>
      </c>
      <c r="AD11">
        <v>0</v>
      </c>
      <c r="AE11">
        <v>11.25</v>
      </c>
      <c r="AF11">
        <v>0</v>
      </c>
      <c r="AG11">
        <v>0</v>
      </c>
      <c r="AH11">
        <v>0</v>
      </c>
      <c r="AI11">
        <v>120.49</v>
      </c>
      <c r="AJ11">
        <v>1</v>
      </c>
      <c r="AK11">
        <v>1</v>
      </c>
      <c r="AL11">
        <v>1</v>
      </c>
      <c r="AM11">
        <v>2</v>
      </c>
      <c r="AN11">
        <v>0</v>
      </c>
      <c r="AO11">
        <v>1</v>
      </c>
      <c r="AP11">
        <v>1</v>
      </c>
      <c r="AQ11">
        <v>0</v>
      </c>
      <c r="AR11">
        <v>0</v>
      </c>
      <c r="AS11" t="s">
        <v>3</v>
      </c>
      <c r="AT11">
        <v>2E-3</v>
      </c>
      <c r="AU11" t="s">
        <v>3</v>
      </c>
      <c r="AV11">
        <v>0</v>
      </c>
      <c r="AW11">
        <v>2</v>
      </c>
      <c r="AX11">
        <v>91107273</v>
      </c>
      <c r="AY11">
        <v>1</v>
      </c>
      <c r="AZ11">
        <v>0</v>
      </c>
      <c r="BA11">
        <v>11</v>
      </c>
      <c r="BB11">
        <v>0</v>
      </c>
      <c r="BC11">
        <v>0</v>
      </c>
      <c r="BD11">
        <v>0</v>
      </c>
      <c r="BE11">
        <v>0</v>
      </c>
      <c r="BF11">
        <v>0</v>
      </c>
      <c r="BG11">
        <v>0</v>
      </c>
      <c r="BH11">
        <v>0</v>
      </c>
      <c r="BI11">
        <v>0</v>
      </c>
      <c r="BJ11">
        <v>0</v>
      </c>
      <c r="BK11">
        <v>0</v>
      </c>
      <c r="BL11">
        <v>0</v>
      </c>
      <c r="BM11">
        <v>0</v>
      </c>
      <c r="BN11">
        <v>0</v>
      </c>
      <c r="BO11">
        <v>0</v>
      </c>
      <c r="BP11">
        <v>0</v>
      </c>
      <c r="BQ11">
        <v>0</v>
      </c>
      <c r="BR11">
        <v>0</v>
      </c>
      <c r="BS11">
        <v>0</v>
      </c>
      <c r="BT11">
        <v>0</v>
      </c>
      <c r="BU11">
        <v>0</v>
      </c>
      <c r="BV11">
        <v>0</v>
      </c>
      <c r="BW11">
        <v>0</v>
      </c>
      <c r="CV11">
        <v>0</v>
      </c>
      <c r="CW11">
        <v>0</v>
      </c>
      <c r="CX11">
        <f>ROUND(Y11*Source!I26,9)</f>
        <v>1.7999999999999999E-2</v>
      </c>
      <c r="CY11">
        <f>AA11</f>
        <v>1355.51</v>
      </c>
      <c r="CZ11">
        <f>AE11</f>
        <v>11.25</v>
      </c>
      <c r="DA11">
        <f>AI11</f>
        <v>120.49</v>
      </c>
      <c r="DB11">
        <f t="shared" si="1"/>
        <v>0.02</v>
      </c>
      <c r="DC11">
        <f t="shared" si="2"/>
        <v>0</v>
      </c>
      <c r="DD11" t="s">
        <v>3</v>
      </c>
      <c r="DE11" t="s">
        <v>3</v>
      </c>
      <c r="DF11">
        <f>ROUND(ROUND(AE11*AI11,2)*CX11,2)</f>
        <v>24.4</v>
      </c>
      <c r="DG11">
        <f>ROUND(ROUND(AF11,2)*CX11,2)</f>
        <v>0</v>
      </c>
      <c r="DH11">
        <f>ROUND(ROUND(AG11,2)*CX11,2)</f>
        <v>0</v>
      </c>
      <c r="DI11">
        <f t="shared" si="3"/>
        <v>0</v>
      </c>
      <c r="DJ11">
        <f>DF11</f>
        <v>24.4</v>
      </c>
      <c r="DK11">
        <v>0</v>
      </c>
      <c r="DL11" t="s">
        <v>3</v>
      </c>
      <c r="DM11">
        <v>0</v>
      </c>
      <c r="DN11" t="s">
        <v>3</v>
      </c>
      <c r="DO11">
        <v>0</v>
      </c>
    </row>
    <row r="12" spans="1:119" x14ac:dyDescent="0.2">
      <c r="A12">
        <f>ROW(Source!A26)</f>
        <v>26</v>
      </c>
      <c r="B12">
        <v>91035980</v>
      </c>
      <c r="C12">
        <v>91107270</v>
      </c>
      <c r="D12">
        <v>88691351</v>
      </c>
      <c r="E12">
        <v>1</v>
      </c>
      <c r="F12">
        <v>1</v>
      </c>
      <c r="G12">
        <v>1074</v>
      </c>
      <c r="H12">
        <v>3</v>
      </c>
      <c r="I12" t="s">
        <v>105</v>
      </c>
      <c r="J12" t="s">
        <v>106</v>
      </c>
      <c r="K12" t="s">
        <v>107</v>
      </c>
      <c r="L12">
        <v>1346</v>
      </c>
      <c r="N12">
        <v>1009</v>
      </c>
      <c r="O12" t="s">
        <v>108</v>
      </c>
      <c r="P12" t="s">
        <v>108</v>
      </c>
      <c r="Q12">
        <v>1</v>
      </c>
      <c r="W12">
        <v>0</v>
      </c>
      <c r="X12">
        <v>717624329</v>
      </c>
      <c r="Y12">
        <f t="shared" si="0"/>
        <v>4.0000000000000001E-3</v>
      </c>
      <c r="AA12">
        <v>53.68</v>
      </c>
      <c r="AB12">
        <v>0</v>
      </c>
      <c r="AC12">
        <v>0</v>
      </c>
      <c r="AD12">
        <v>0</v>
      </c>
      <c r="AE12">
        <v>1.61</v>
      </c>
      <c r="AF12">
        <v>0</v>
      </c>
      <c r="AG12">
        <v>0</v>
      </c>
      <c r="AH12">
        <v>0</v>
      </c>
      <c r="AI12">
        <v>33.340000000000003</v>
      </c>
      <c r="AJ12">
        <v>1</v>
      </c>
      <c r="AK12">
        <v>1</v>
      </c>
      <c r="AL12">
        <v>1</v>
      </c>
      <c r="AM12">
        <v>2</v>
      </c>
      <c r="AN12">
        <v>0</v>
      </c>
      <c r="AO12">
        <v>1</v>
      </c>
      <c r="AP12">
        <v>1</v>
      </c>
      <c r="AQ12">
        <v>0</v>
      </c>
      <c r="AR12">
        <v>0</v>
      </c>
      <c r="AS12" t="s">
        <v>3</v>
      </c>
      <c r="AT12">
        <v>4.0000000000000001E-3</v>
      </c>
      <c r="AU12" t="s">
        <v>3</v>
      </c>
      <c r="AV12">
        <v>0</v>
      </c>
      <c r="AW12">
        <v>2</v>
      </c>
      <c r="AX12">
        <v>91107274</v>
      </c>
      <c r="AY12">
        <v>1</v>
      </c>
      <c r="AZ12">
        <v>0</v>
      </c>
      <c r="BA12">
        <v>12</v>
      </c>
      <c r="BB12">
        <v>0</v>
      </c>
      <c r="BC12">
        <v>0</v>
      </c>
      <c r="BD12">
        <v>0</v>
      </c>
      <c r="BE12">
        <v>0</v>
      </c>
      <c r="BF12">
        <v>0</v>
      </c>
      <c r="BG12">
        <v>0</v>
      </c>
      <c r="BH12">
        <v>0</v>
      </c>
      <c r="BI12">
        <v>0</v>
      </c>
      <c r="BJ12">
        <v>0</v>
      </c>
      <c r="BK12">
        <v>0</v>
      </c>
      <c r="BL12">
        <v>0</v>
      </c>
      <c r="BM12">
        <v>0</v>
      </c>
      <c r="BN12">
        <v>0</v>
      </c>
      <c r="BO12">
        <v>0</v>
      </c>
      <c r="BP12">
        <v>0</v>
      </c>
      <c r="BQ12">
        <v>0</v>
      </c>
      <c r="BR12">
        <v>0</v>
      </c>
      <c r="BS12">
        <v>0</v>
      </c>
      <c r="BT12">
        <v>0</v>
      </c>
      <c r="BU12">
        <v>0</v>
      </c>
      <c r="BV12">
        <v>0</v>
      </c>
      <c r="BW12">
        <v>0</v>
      </c>
      <c r="CV12">
        <v>0</v>
      </c>
      <c r="CW12">
        <v>0</v>
      </c>
      <c r="CX12">
        <f>ROUND(Y12*Source!I26,9)</f>
        <v>3.5999999999999997E-2</v>
      </c>
      <c r="CY12">
        <f>AA12</f>
        <v>53.68</v>
      </c>
      <c r="CZ12">
        <f>AE12</f>
        <v>1.61</v>
      </c>
      <c r="DA12">
        <f>AI12</f>
        <v>33.340000000000003</v>
      </c>
      <c r="DB12">
        <f t="shared" si="1"/>
        <v>0.01</v>
      </c>
      <c r="DC12">
        <f t="shared" si="2"/>
        <v>0</v>
      </c>
      <c r="DD12" t="s">
        <v>3</v>
      </c>
      <c r="DE12" t="s">
        <v>3</v>
      </c>
      <c r="DF12">
        <f>ROUND(ROUND(AE12*AI12,2)*CX12,2)</f>
        <v>1.93</v>
      </c>
      <c r="DG12">
        <f>ROUND(ROUND(AF12,2)*CX12,2)</f>
        <v>0</v>
      </c>
      <c r="DH12">
        <f>ROUND(ROUND(AG12,2)*CX12,2)</f>
        <v>0</v>
      </c>
      <c r="DI12">
        <f t="shared" si="3"/>
        <v>0</v>
      </c>
      <c r="DJ12">
        <f>DF12</f>
        <v>1.93</v>
      </c>
      <c r="DK12">
        <v>0</v>
      </c>
      <c r="DL12" t="s">
        <v>3</v>
      </c>
      <c r="DM12">
        <v>0</v>
      </c>
      <c r="DN12" t="s">
        <v>3</v>
      </c>
      <c r="DO12">
        <v>0</v>
      </c>
    </row>
    <row r="13" spans="1:119" x14ac:dyDescent="0.2">
      <c r="A13">
        <f>ROW(Source!A26)</f>
        <v>26</v>
      </c>
      <c r="B13">
        <v>91035980</v>
      </c>
      <c r="C13">
        <v>91107270</v>
      </c>
      <c r="D13">
        <v>88691762</v>
      </c>
      <c r="E13">
        <v>1</v>
      </c>
      <c r="F13">
        <v>1</v>
      </c>
      <c r="G13">
        <v>1074</v>
      </c>
      <c r="H13">
        <v>3</v>
      </c>
      <c r="I13" t="s">
        <v>120</v>
      </c>
      <c r="J13" t="s">
        <v>121</v>
      </c>
      <c r="K13" t="s">
        <v>122</v>
      </c>
      <c r="L13">
        <v>1348</v>
      </c>
      <c r="N13">
        <v>1009</v>
      </c>
      <c r="O13" t="s">
        <v>112</v>
      </c>
      <c r="P13" t="s">
        <v>112</v>
      </c>
      <c r="Q13">
        <v>1000</v>
      </c>
      <c r="W13">
        <v>0</v>
      </c>
      <c r="X13">
        <v>-1352824825</v>
      </c>
      <c r="Y13">
        <f t="shared" si="0"/>
        <v>9.9999999999999995E-7</v>
      </c>
      <c r="AA13">
        <v>19498.47</v>
      </c>
      <c r="AB13">
        <v>0</v>
      </c>
      <c r="AC13">
        <v>0</v>
      </c>
      <c r="AD13">
        <v>0</v>
      </c>
      <c r="AE13">
        <v>18054.14</v>
      </c>
      <c r="AF13">
        <v>0</v>
      </c>
      <c r="AG13">
        <v>0</v>
      </c>
      <c r="AH13">
        <v>0</v>
      </c>
      <c r="AI13">
        <v>1.08</v>
      </c>
      <c r="AJ13">
        <v>1</v>
      </c>
      <c r="AK13">
        <v>1</v>
      </c>
      <c r="AL13">
        <v>1</v>
      </c>
      <c r="AM13">
        <v>2</v>
      </c>
      <c r="AN13">
        <v>0</v>
      </c>
      <c r="AO13">
        <v>1</v>
      </c>
      <c r="AP13">
        <v>1</v>
      </c>
      <c r="AQ13">
        <v>0</v>
      </c>
      <c r="AR13">
        <v>0</v>
      </c>
      <c r="AS13" t="s">
        <v>3</v>
      </c>
      <c r="AT13">
        <v>9.9999999999999995E-7</v>
      </c>
      <c r="AU13" t="s">
        <v>3</v>
      </c>
      <c r="AV13">
        <v>0</v>
      </c>
      <c r="AW13">
        <v>2</v>
      </c>
      <c r="AX13">
        <v>91107275</v>
      </c>
      <c r="AY13">
        <v>1</v>
      </c>
      <c r="AZ13">
        <v>0</v>
      </c>
      <c r="BA13">
        <v>13</v>
      </c>
      <c r="BB13">
        <v>0</v>
      </c>
      <c r="BC13">
        <v>0</v>
      </c>
      <c r="BD13">
        <v>0</v>
      </c>
      <c r="BE13">
        <v>0</v>
      </c>
      <c r="BF13">
        <v>0</v>
      </c>
      <c r="BG13">
        <v>0</v>
      </c>
      <c r="BH13">
        <v>0</v>
      </c>
      <c r="BI13">
        <v>0</v>
      </c>
      <c r="BJ13">
        <v>0</v>
      </c>
      <c r="BK13">
        <v>0</v>
      </c>
      <c r="BL13">
        <v>0</v>
      </c>
      <c r="BM13">
        <v>0</v>
      </c>
      <c r="BN13">
        <v>0</v>
      </c>
      <c r="BO13">
        <v>0</v>
      </c>
      <c r="BP13">
        <v>0</v>
      </c>
      <c r="BQ13">
        <v>0</v>
      </c>
      <c r="BR13">
        <v>0</v>
      </c>
      <c r="BS13">
        <v>0</v>
      </c>
      <c r="BT13">
        <v>0</v>
      </c>
      <c r="BU13">
        <v>0</v>
      </c>
      <c r="BV13">
        <v>0</v>
      </c>
      <c r="BW13">
        <v>0</v>
      </c>
      <c r="CV13">
        <v>0</v>
      </c>
      <c r="CW13">
        <v>0</v>
      </c>
      <c r="CX13">
        <f>ROUND(Y13*Source!I26,9)</f>
        <v>9.0000000000000002E-6</v>
      </c>
      <c r="CY13">
        <f>AA13</f>
        <v>19498.47</v>
      </c>
      <c r="CZ13">
        <f>AE13</f>
        <v>18054.14</v>
      </c>
      <c r="DA13">
        <f>AI13</f>
        <v>1.08</v>
      </c>
      <c r="DB13">
        <f t="shared" si="1"/>
        <v>0.02</v>
      </c>
      <c r="DC13">
        <f t="shared" si="2"/>
        <v>0</v>
      </c>
      <c r="DD13" t="s">
        <v>3</v>
      </c>
      <c r="DE13" t="s">
        <v>3</v>
      </c>
      <c r="DF13">
        <f>ROUND(ROUND(AE13*AI13,2)*CX13,2)</f>
        <v>0.18</v>
      </c>
      <c r="DG13">
        <f>ROUND(ROUND(AF13,2)*CX13,2)</f>
        <v>0</v>
      </c>
      <c r="DH13">
        <f>ROUND(ROUND(AG13,2)*CX13,2)</f>
        <v>0</v>
      </c>
      <c r="DI13">
        <f t="shared" si="3"/>
        <v>0</v>
      </c>
      <c r="DJ13">
        <f>DF13</f>
        <v>0.18</v>
      </c>
      <c r="DK13">
        <v>0</v>
      </c>
      <c r="DL13" t="s">
        <v>3</v>
      </c>
      <c r="DM13">
        <v>0</v>
      </c>
      <c r="DN13" t="s">
        <v>3</v>
      </c>
      <c r="DO13">
        <v>0</v>
      </c>
    </row>
  </sheetData>
  <printOptions gridLines="1"/>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3"/>
  <sheetViews>
    <sheetView workbookViewId="0">
      <selection activeCell="A99" sqref="A99:AX99"/>
    </sheetView>
  </sheetViews>
  <sheetFormatPr defaultColWidth="9.140625" defaultRowHeight="12.75" x14ac:dyDescent="0.2"/>
  <cols>
    <col min="1" max="256" width="9.140625" customWidth="1"/>
  </cols>
  <sheetData>
    <row r="1" spans="1:44" x14ac:dyDescent="0.2">
      <c r="A1">
        <f>ROW(Source!A24)</f>
        <v>24</v>
      </c>
      <c r="B1">
        <v>91038732</v>
      </c>
      <c r="C1">
        <v>91038731</v>
      </c>
      <c r="D1">
        <v>88645190</v>
      </c>
      <c r="E1">
        <v>1074</v>
      </c>
      <c r="F1">
        <v>1</v>
      </c>
      <c r="G1">
        <v>1074</v>
      </c>
      <c r="H1">
        <v>1</v>
      </c>
      <c r="I1" t="s">
        <v>102</v>
      </c>
      <c r="J1" t="s">
        <v>3</v>
      </c>
      <c r="K1" t="s">
        <v>103</v>
      </c>
      <c r="L1">
        <v>1191</v>
      </c>
      <c r="N1">
        <v>1013</v>
      </c>
      <c r="O1" t="s">
        <v>104</v>
      </c>
      <c r="P1" t="s">
        <v>104</v>
      </c>
      <c r="Q1">
        <v>1</v>
      </c>
      <c r="X1">
        <v>14.44</v>
      </c>
      <c r="Y1">
        <v>0</v>
      </c>
      <c r="Z1">
        <v>0</v>
      </c>
      <c r="AA1">
        <v>0</v>
      </c>
      <c r="AB1">
        <v>0</v>
      </c>
      <c r="AC1">
        <v>0</v>
      </c>
      <c r="AD1">
        <v>1</v>
      </c>
      <c r="AE1">
        <v>1</v>
      </c>
      <c r="AF1" t="s">
        <v>3</v>
      </c>
      <c r="AG1">
        <v>14.44</v>
      </c>
      <c r="AH1">
        <v>2</v>
      </c>
      <c r="AI1">
        <v>91038732</v>
      </c>
      <c r="AJ1">
        <v>1</v>
      </c>
      <c r="AK1">
        <v>0</v>
      </c>
      <c r="AL1">
        <v>0</v>
      </c>
      <c r="AM1">
        <v>0</v>
      </c>
      <c r="AN1">
        <v>0</v>
      </c>
      <c r="AO1">
        <v>0</v>
      </c>
      <c r="AP1">
        <v>0</v>
      </c>
      <c r="AQ1">
        <v>0</v>
      </c>
      <c r="AR1">
        <v>0</v>
      </c>
    </row>
    <row r="2" spans="1:44" x14ac:dyDescent="0.2">
      <c r="A2">
        <f>ROW(Source!A24)</f>
        <v>24</v>
      </c>
      <c r="B2">
        <v>91038733</v>
      </c>
      <c r="C2">
        <v>91038731</v>
      </c>
      <c r="D2">
        <v>88691351</v>
      </c>
      <c r="E2">
        <v>1</v>
      </c>
      <c r="F2">
        <v>1</v>
      </c>
      <c r="G2">
        <v>1074</v>
      </c>
      <c r="H2">
        <v>3</v>
      </c>
      <c r="I2" t="s">
        <v>105</v>
      </c>
      <c r="J2" t="s">
        <v>106</v>
      </c>
      <c r="K2" t="s">
        <v>107</v>
      </c>
      <c r="L2">
        <v>1346</v>
      </c>
      <c r="N2">
        <v>1009</v>
      </c>
      <c r="O2" t="s">
        <v>108</v>
      </c>
      <c r="P2" t="s">
        <v>108</v>
      </c>
      <c r="Q2">
        <v>1</v>
      </c>
      <c r="X2">
        <v>0.2</v>
      </c>
      <c r="Y2">
        <v>1.61</v>
      </c>
      <c r="Z2">
        <v>0</v>
      </c>
      <c r="AA2">
        <v>0</v>
      </c>
      <c r="AB2">
        <v>0</v>
      </c>
      <c r="AC2">
        <v>0</v>
      </c>
      <c r="AD2">
        <v>1</v>
      </c>
      <c r="AE2">
        <v>0</v>
      </c>
      <c r="AF2" t="s">
        <v>3</v>
      </c>
      <c r="AG2">
        <v>0.2</v>
      </c>
      <c r="AH2">
        <v>2</v>
      </c>
      <c r="AI2">
        <v>91038733</v>
      </c>
      <c r="AJ2">
        <v>2</v>
      </c>
      <c r="AK2">
        <v>0</v>
      </c>
      <c r="AL2">
        <v>0</v>
      </c>
      <c r="AM2">
        <v>0</v>
      </c>
      <c r="AN2">
        <v>0</v>
      </c>
      <c r="AO2">
        <v>0</v>
      </c>
      <c r="AP2">
        <v>0</v>
      </c>
      <c r="AQ2">
        <v>0</v>
      </c>
      <c r="AR2">
        <v>0</v>
      </c>
    </row>
    <row r="3" spans="1:44" x14ac:dyDescent="0.2">
      <c r="A3">
        <f>ROW(Source!A24)</f>
        <v>24</v>
      </c>
      <c r="B3">
        <v>91038734</v>
      </c>
      <c r="C3">
        <v>91038731</v>
      </c>
      <c r="D3">
        <v>88691531</v>
      </c>
      <c r="E3">
        <v>1</v>
      </c>
      <c r="F3">
        <v>1</v>
      </c>
      <c r="G3">
        <v>1074</v>
      </c>
      <c r="H3">
        <v>3</v>
      </c>
      <c r="I3" t="s">
        <v>109</v>
      </c>
      <c r="J3" t="s">
        <v>110</v>
      </c>
      <c r="K3" t="s">
        <v>111</v>
      </c>
      <c r="L3">
        <v>1348</v>
      </c>
      <c r="N3">
        <v>1009</v>
      </c>
      <c r="O3" t="s">
        <v>112</v>
      </c>
      <c r="P3" t="s">
        <v>112</v>
      </c>
      <c r="Q3">
        <v>1000</v>
      </c>
      <c r="X3">
        <v>8.3000000000000001E-4</v>
      </c>
      <c r="Y3">
        <v>7359.71</v>
      </c>
      <c r="Z3">
        <v>0</v>
      </c>
      <c r="AA3">
        <v>0</v>
      </c>
      <c r="AB3">
        <v>0</v>
      </c>
      <c r="AC3">
        <v>0</v>
      </c>
      <c r="AD3">
        <v>1</v>
      </c>
      <c r="AE3">
        <v>0</v>
      </c>
      <c r="AF3" t="s">
        <v>3</v>
      </c>
      <c r="AG3">
        <v>8.3000000000000001E-4</v>
      </c>
      <c r="AH3">
        <v>2</v>
      </c>
      <c r="AI3">
        <v>91038734</v>
      </c>
      <c r="AJ3">
        <v>3</v>
      </c>
      <c r="AK3">
        <v>0</v>
      </c>
      <c r="AL3">
        <v>0</v>
      </c>
      <c r="AM3">
        <v>0</v>
      </c>
      <c r="AN3">
        <v>0</v>
      </c>
      <c r="AO3">
        <v>0</v>
      </c>
      <c r="AP3">
        <v>0</v>
      </c>
      <c r="AQ3">
        <v>0</v>
      </c>
      <c r="AR3">
        <v>0</v>
      </c>
    </row>
    <row r="4" spans="1:44" x14ac:dyDescent="0.2">
      <c r="A4">
        <f>ROW(Source!A25)</f>
        <v>25</v>
      </c>
      <c r="B4">
        <v>91107265</v>
      </c>
      <c r="C4">
        <v>91107264</v>
      </c>
      <c r="D4">
        <v>88645190</v>
      </c>
      <c r="E4">
        <v>1074</v>
      </c>
      <c r="F4">
        <v>1</v>
      </c>
      <c r="G4">
        <v>1074</v>
      </c>
      <c r="H4">
        <v>1</v>
      </c>
      <c r="I4" t="s">
        <v>102</v>
      </c>
      <c r="J4" t="s">
        <v>3</v>
      </c>
      <c r="K4" t="s">
        <v>103</v>
      </c>
      <c r="L4">
        <v>1191</v>
      </c>
      <c r="N4">
        <v>1013</v>
      </c>
      <c r="O4" t="s">
        <v>104</v>
      </c>
      <c r="P4" t="s">
        <v>104</v>
      </c>
      <c r="Q4">
        <v>1</v>
      </c>
      <c r="X4">
        <v>0.82</v>
      </c>
      <c r="Y4">
        <v>0</v>
      </c>
      <c r="Z4">
        <v>0</v>
      </c>
      <c r="AA4">
        <v>0</v>
      </c>
      <c r="AB4">
        <v>0</v>
      </c>
      <c r="AC4">
        <v>0</v>
      </c>
      <c r="AD4">
        <v>1</v>
      </c>
      <c r="AE4">
        <v>1</v>
      </c>
      <c r="AF4" t="s">
        <v>3</v>
      </c>
      <c r="AG4">
        <v>0.82</v>
      </c>
      <c r="AH4">
        <v>2</v>
      </c>
      <c r="AI4">
        <v>91107265</v>
      </c>
      <c r="AJ4">
        <v>4</v>
      </c>
      <c r="AK4">
        <v>0</v>
      </c>
      <c r="AL4">
        <v>0</v>
      </c>
      <c r="AM4">
        <v>0</v>
      </c>
      <c r="AN4">
        <v>0</v>
      </c>
      <c r="AO4">
        <v>0</v>
      </c>
      <c r="AP4">
        <v>0</v>
      </c>
      <c r="AQ4">
        <v>0</v>
      </c>
      <c r="AR4">
        <v>0</v>
      </c>
    </row>
    <row r="5" spans="1:44" x14ac:dyDescent="0.2">
      <c r="A5">
        <f>ROW(Source!A25)</f>
        <v>25</v>
      </c>
      <c r="B5">
        <v>91107266</v>
      </c>
      <c r="C5">
        <v>91107264</v>
      </c>
      <c r="D5">
        <v>88721891</v>
      </c>
      <c r="E5">
        <v>1</v>
      </c>
      <c r="F5">
        <v>1</v>
      </c>
      <c r="G5">
        <v>1074</v>
      </c>
      <c r="H5">
        <v>2</v>
      </c>
      <c r="I5" t="s">
        <v>113</v>
      </c>
      <c r="J5" t="s">
        <v>114</v>
      </c>
      <c r="K5" t="s">
        <v>115</v>
      </c>
      <c r="L5">
        <v>1368</v>
      </c>
      <c r="N5">
        <v>1011</v>
      </c>
      <c r="O5" t="s">
        <v>116</v>
      </c>
      <c r="P5" t="s">
        <v>116</v>
      </c>
      <c r="Q5">
        <v>1</v>
      </c>
      <c r="X5">
        <v>0.04</v>
      </c>
      <c r="Y5">
        <v>0</v>
      </c>
      <c r="Z5">
        <v>43.95</v>
      </c>
      <c r="AA5">
        <v>12.62</v>
      </c>
      <c r="AB5">
        <v>0</v>
      </c>
      <c r="AC5">
        <v>0</v>
      </c>
      <c r="AD5">
        <v>1</v>
      </c>
      <c r="AE5">
        <v>0</v>
      </c>
      <c r="AF5" t="s">
        <v>3</v>
      </c>
      <c r="AG5">
        <v>0.04</v>
      </c>
      <c r="AH5">
        <v>2</v>
      </c>
      <c r="AI5">
        <v>91107266</v>
      </c>
      <c r="AJ5">
        <v>5</v>
      </c>
      <c r="AK5">
        <v>0</v>
      </c>
      <c r="AL5">
        <v>0</v>
      </c>
      <c r="AM5">
        <v>0</v>
      </c>
      <c r="AN5">
        <v>0</v>
      </c>
      <c r="AO5">
        <v>0</v>
      </c>
      <c r="AP5">
        <v>0</v>
      </c>
      <c r="AQ5">
        <v>0</v>
      </c>
      <c r="AR5">
        <v>0</v>
      </c>
    </row>
    <row r="6" spans="1:44" x14ac:dyDescent="0.2">
      <c r="A6">
        <f>ROW(Source!A25)</f>
        <v>25</v>
      </c>
      <c r="B6">
        <v>91107267</v>
      </c>
      <c r="C6">
        <v>91107264</v>
      </c>
      <c r="D6">
        <v>88692001</v>
      </c>
      <c r="E6">
        <v>1</v>
      </c>
      <c r="F6">
        <v>1</v>
      </c>
      <c r="G6">
        <v>1074</v>
      </c>
      <c r="H6">
        <v>3</v>
      </c>
      <c r="I6" t="s">
        <v>117</v>
      </c>
      <c r="J6" t="s">
        <v>118</v>
      </c>
      <c r="K6" t="s">
        <v>119</v>
      </c>
      <c r="L6">
        <v>1346</v>
      </c>
      <c r="N6">
        <v>1009</v>
      </c>
      <c r="O6" t="s">
        <v>108</v>
      </c>
      <c r="P6" t="s">
        <v>108</v>
      </c>
      <c r="Q6">
        <v>1</v>
      </c>
      <c r="X6">
        <v>2E-3</v>
      </c>
      <c r="Y6">
        <v>11.25</v>
      </c>
      <c r="Z6">
        <v>0</v>
      </c>
      <c r="AA6">
        <v>0</v>
      </c>
      <c r="AB6">
        <v>0</v>
      </c>
      <c r="AC6">
        <v>0</v>
      </c>
      <c r="AD6">
        <v>1</v>
      </c>
      <c r="AE6">
        <v>0</v>
      </c>
      <c r="AF6" t="s">
        <v>3</v>
      </c>
      <c r="AG6">
        <v>2E-3</v>
      </c>
      <c r="AH6">
        <v>2</v>
      </c>
      <c r="AI6">
        <v>91107267</v>
      </c>
      <c r="AJ6">
        <v>6</v>
      </c>
      <c r="AK6">
        <v>0</v>
      </c>
      <c r="AL6">
        <v>0</v>
      </c>
      <c r="AM6">
        <v>0</v>
      </c>
      <c r="AN6">
        <v>0</v>
      </c>
      <c r="AO6">
        <v>0</v>
      </c>
      <c r="AP6">
        <v>0</v>
      </c>
      <c r="AQ6">
        <v>0</v>
      </c>
      <c r="AR6">
        <v>0</v>
      </c>
    </row>
    <row r="7" spans="1:44" x14ac:dyDescent="0.2">
      <c r="A7">
        <f>ROW(Source!A25)</f>
        <v>25</v>
      </c>
      <c r="B7">
        <v>91107268</v>
      </c>
      <c r="C7">
        <v>91107264</v>
      </c>
      <c r="D7">
        <v>88691351</v>
      </c>
      <c r="E7">
        <v>1</v>
      </c>
      <c r="F7">
        <v>1</v>
      </c>
      <c r="G7">
        <v>1074</v>
      </c>
      <c r="H7">
        <v>3</v>
      </c>
      <c r="I7" t="s">
        <v>105</v>
      </c>
      <c r="J7" t="s">
        <v>106</v>
      </c>
      <c r="K7" t="s">
        <v>107</v>
      </c>
      <c r="L7">
        <v>1346</v>
      </c>
      <c r="N7">
        <v>1009</v>
      </c>
      <c r="O7" t="s">
        <v>108</v>
      </c>
      <c r="P7" t="s">
        <v>108</v>
      </c>
      <c r="Q7">
        <v>1</v>
      </c>
      <c r="X7">
        <v>4.0000000000000001E-3</v>
      </c>
      <c r="Y7">
        <v>1.61</v>
      </c>
      <c r="Z7">
        <v>0</v>
      </c>
      <c r="AA7">
        <v>0</v>
      </c>
      <c r="AB7">
        <v>0</v>
      </c>
      <c r="AC7">
        <v>0</v>
      </c>
      <c r="AD7">
        <v>1</v>
      </c>
      <c r="AE7">
        <v>0</v>
      </c>
      <c r="AF7" t="s">
        <v>3</v>
      </c>
      <c r="AG7">
        <v>4.0000000000000001E-3</v>
      </c>
      <c r="AH7">
        <v>2</v>
      </c>
      <c r="AI7">
        <v>91107268</v>
      </c>
      <c r="AJ7">
        <v>7</v>
      </c>
      <c r="AK7">
        <v>0</v>
      </c>
      <c r="AL7">
        <v>0</v>
      </c>
      <c r="AM7">
        <v>0</v>
      </c>
      <c r="AN7">
        <v>0</v>
      </c>
      <c r="AO7">
        <v>0</v>
      </c>
      <c r="AP7">
        <v>0</v>
      </c>
      <c r="AQ7">
        <v>0</v>
      </c>
      <c r="AR7">
        <v>0</v>
      </c>
    </row>
    <row r="8" spans="1:44" x14ac:dyDescent="0.2">
      <c r="A8">
        <f>ROW(Source!A25)</f>
        <v>25</v>
      </c>
      <c r="B8">
        <v>91107269</v>
      </c>
      <c r="C8">
        <v>91107264</v>
      </c>
      <c r="D8">
        <v>88691762</v>
      </c>
      <c r="E8">
        <v>1</v>
      </c>
      <c r="F8">
        <v>1</v>
      </c>
      <c r="G8">
        <v>1074</v>
      </c>
      <c r="H8">
        <v>3</v>
      </c>
      <c r="I8" t="s">
        <v>120</v>
      </c>
      <c r="J8" t="s">
        <v>121</v>
      </c>
      <c r="K8" t="s">
        <v>122</v>
      </c>
      <c r="L8">
        <v>1348</v>
      </c>
      <c r="N8">
        <v>1009</v>
      </c>
      <c r="O8" t="s">
        <v>112</v>
      </c>
      <c r="P8" t="s">
        <v>112</v>
      </c>
      <c r="Q8">
        <v>1000</v>
      </c>
      <c r="X8">
        <v>9.9999999999999995E-7</v>
      </c>
      <c r="Y8">
        <v>18054.14</v>
      </c>
      <c r="Z8">
        <v>0</v>
      </c>
      <c r="AA8">
        <v>0</v>
      </c>
      <c r="AB8">
        <v>0</v>
      </c>
      <c r="AC8">
        <v>0</v>
      </c>
      <c r="AD8">
        <v>1</v>
      </c>
      <c r="AE8">
        <v>0</v>
      </c>
      <c r="AF8" t="s">
        <v>3</v>
      </c>
      <c r="AG8">
        <v>9.9999999999999995E-7</v>
      </c>
      <c r="AH8">
        <v>2</v>
      </c>
      <c r="AI8">
        <v>91107269</v>
      </c>
      <c r="AJ8">
        <v>8</v>
      </c>
      <c r="AK8">
        <v>0</v>
      </c>
      <c r="AL8">
        <v>0</v>
      </c>
      <c r="AM8">
        <v>0</v>
      </c>
      <c r="AN8">
        <v>0</v>
      </c>
      <c r="AO8">
        <v>0</v>
      </c>
      <c r="AP8">
        <v>0</v>
      </c>
      <c r="AQ8">
        <v>0</v>
      </c>
      <c r="AR8">
        <v>0</v>
      </c>
    </row>
    <row r="9" spans="1:44" x14ac:dyDescent="0.2">
      <c r="A9">
        <f>ROW(Source!A26)</f>
        <v>26</v>
      </c>
      <c r="B9">
        <v>91107271</v>
      </c>
      <c r="C9">
        <v>91107270</v>
      </c>
      <c r="D9">
        <v>88645190</v>
      </c>
      <c r="E9">
        <v>1074</v>
      </c>
      <c r="F9">
        <v>1</v>
      </c>
      <c r="G9">
        <v>1074</v>
      </c>
      <c r="H9">
        <v>1</v>
      </c>
      <c r="I9" t="s">
        <v>102</v>
      </c>
      <c r="J9" t="s">
        <v>3</v>
      </c>
      <c r="K9" t="s">
        <v>103</v>
      </c>
      <c r="L9">
        <v>1191</v>
      </c>
      <c r="N9">
        <v>1013</v>
      </c>
      <c r="O9" t="s">
        <v>104</v>
      </c>
      <c r="P9" t="s">
        <v>104</v>
      </c>
      <c r="Q9">
        <v>1</v>
      </c>
      <c r="X9">
        <v>0.98</v>
      </c>
      <c r="Y9">
        <v>0</v>
      </c>
      <c r="Z9">
        <v>0</v>
      </c>
      <c r="AA9">
        <v>0</v>
      </c>
      <c r="AB9">
        <v>0</v>
      </c>
      <c r="AC9">
        <v>0</v>
      </c>
      <c r="AD9">
        <v>1</v>
      </c>
      <c r="AE9">
        <v>1</v>
      </c>
      <c r="AF9" t="s">
        <v>3</v>
      </c>
      <c r="AG9">
        <v>0.98</v>
      </c>
      <c r="AH9">
        <v>2</v>
      </c>
      <c r="AI9">
        <v>91107271</v>
      </c>
      <c r="AJ9">
        <v>9</v>
      </c>
      <c r="AK9">
        <v>0</v>
      </c>
      <c r="AL9">
        <v>0</v>
      </c>
      <c r="AM9">
        <v>0</v>
      </c>
      <c r="AN9">
        <v>0</v>
      </c>
      <c r="AO9">
        <v>0</v>
      </c>
      <c r="AP9">
        <v>0</v>
      </c>
      <c r="AQ9">
        <v>0</v>
      </c>
      <c r="AR9">
        <v>0</v>
      </c>
    </row>
    <row r="10" spans="1:44" x14ac:dyDescent="0.2">
      <c r="A10">
        <f>ROW(Source!A26)</f>
        <v>26</v>
      </c>
      <c r="B10">
        <v>91107272</v>
      </c>
      <c r="C10">
        <v>91107270</v>
      </c>
      <c r="D10">
        <v>88721891</v>
      </c>
      <c r="E10">
        <v>1</v>
      </c>
      <c r="F10">
        <v>1</v>
      </c>
      <c r="G10">
        <v>1074</v>
      </c>
      <c r="H10">
        <v>2</v>
      </c>
      <c r="I10" t="s">
        <v>113</v>
      </c>
      <c r="J10" t="s">
        <v>114</v>
      </c>
      <c r="K10" t="s">
        <v>115</v>
      </c>
      <c r="L10">
        <v>1368</v>
      </c>
      <c r="N10">
        <v>1011</v>
      </c>
      <c r="O10" t="s">
        <v>116</v>
      </c>
      <c r="P10" t="s">
        <v>116</v>
      </c>
      <c r="Q10">
        <v>1</v>
      </c>
      <c r="X10">
        <v>0.05</v>
      </c>
      <c r="Y10">
        <v>0</v>
      </c>
      <c r="Z10">
        <v>43.95</v>
      </c>
      <c r="AA10">
        <v>12.62</v>
      </c>
      <c r="AB10">
        <v>0</v>
      </c>
      <c r="AC10">
        <v>0</v>
      </c>
      <c r="AD10">
        <v>1</v>
      </c>
      <c r="AE10">
        <v>0</v>
      </c>
      <c r="AF10" t="s">
        <v>3</v>
      </c>
      <c r="AG10">
        <v>0.05</v>
      </c>
      <c r="AH10">
        <v>2</v>
      </c>
      <c r="AI10">
        <v>91107272</v>
      </c>
      <c r="AJ10">
        <v>10</v>
      </c>
      <c r="AK10">
        <v>0</v>
      </c>
      <c r="AL10">
        <v>0</v>
      </c>
      <c r="AM10">
        <v>0</v>
      </c>
      <c r="AN10">
        <v>0</v>
      </c>
      <c r="AO10">
        <v>0</v>
      </c>
      <c r="AP10">
        <v>0</v>
      </c>
      <c r="AQ10">
        <v>0</v>
      </c>
      <c r="AR10">
        <v>0</v>
      </c>
    </row>
    <row r="11" spans="1:44" x14ac:dyDescent="0.2">
      <c r="A11">
        <f>ROW(Source!A26)</f>
        <v>26</v>
      </c>
      <c r="B11">
        <v>91107273</v>
      </c>
      <c r="C11">
        <v>91107270</v>
      </c>
      <c r="D11">
        <v>88692001</v>
      </c>
      <c r="E11">
        <v>1</v>
      </c>
      <c r="F11">
        <v>1</v>
      </c>
      <c r="G11">
        <v>1074</v>
      </c>
      <c r="H11">
        <v>3</v>
      </c>
      <c r="I11" t="s">
        <v>117</v>
      </c>
      <c r="J11" t="s">
        <v>118</v>
      </c>
      <c r="K11" t="s">
        <v>119</v>
      </c>
      <c r="L11">
        <v>1346</v>
      </c>
      <c r="N11">
        <v>1009</v>
      </c>
      <c r="O11" t="s">
        <v>108</v>
      </c>
      <c r="P11" t="s">
        <v>108</v>
      </c>
      <c r="Q11">
        <v>1</v>
      </c>
      <c r="X11">
        <v>2E-3</v>
      </c>
      <c r="Y11">
        <v>11.25</v>
      </c>
      <c r="Z11">
        <v>0</v>
      </c>
      <c r="AA11">
        <v>0</v>
      </c>
      <c r="AB11">
        <v>0</v>
      </c>
      <c r="AC11">
        <v>0</v>
      </c>
      <c r="AD11">
        <v>1</v>
      </c>
      <c r="AE11">
        <v>0</v>
      </c>
      <c r="AF11" t="s">
        <v>3</v>
      </c>
      <c r="AG11">
        <v>2E-3</v>
      </c>
      <c r="AH11">
        <v>2</v>
      </c>
      <c r="AI11">
        <v>91107273</v>
      </c>
      <c r="AJ11">
        <v>11</v>
      </c>
      <c r="AK11">
        <v>0</v>
      </c>
      <c r="AL11">
        <v>0</v>
      </c>
      <c r="AM11">
        <v>0</v>
      </c>
      <c r="AN11">
        <v>0</v>
      </c>
      <c r="AO11">
        <v>0</v>
      </c>
      <c r="AP11">
        <v>0</v>
      </c>
      <c r="AQ11">
        <v>0</v>
      </c>
      <c r="AR11">
        <v>0</v>
      </c>
    </row>
    <row r="12" spans="1:44" x14ac:dyDescent="0.2">
      <c r="A12">
        <f>ROW(Source!A26)</f>
        <v>26</v>
      </c>
      <c r="B12">
        <v>91107274</v>
      </c>
      <c r="C12">
        <v>91107270</v>
      </c>
      <c r="D12">
        <v>88691351</v>
      </c>
      <c r="E12">
        <v>1</v>
      </c>
      <c r="F12">
        <v>1</v>
      </c>
      <c r="G12">
        <v>1074</v>
      </c>
      <c r="H12">
        <v>3</v>
      </c>
      <c r="I12" t="s">
        <v>105</v>
      </c>
      <c r="J12" t="s">
        <v>106</v>
      </c>
      <c r="K12" t="s">
        <v>107</v>
      </c>
      <c r="L12">
        <v>1346</v>
      </c>
      <c r="N12">
        <v>1009</v>
      </c>
      <c r="O12" t="s">
        <v>108</v>
      </c>
      <c r="P12" t="s">
        <v>108</v>
      </c>
      <c r="Q12">
        <v>1</v>
      </c>
      <c r="X12">
        <v>4.0000000000000001E-3</v>
      </c>
      <c r="Y12">
        <v>1.61</v>
      </c>
      <c r="Z12">
        <v>0</v>
      </c>
      <c r="AA12">
        <v>0</v>
      </c>
      <c r="AB12">
        <v>0</v>
      </c>
      <c r="AC12">
        <v>0</v>
      </c>
      <c r="AD12">
        <v>1</v>
      </c>
      <c r="AE12">
        <v>0</v>
      </c>
      <c r="AF12" t="s">
        <v>3</v>
      </c>
      <c r="AG12">
        <v>4.0000000000000001E-3</v>
      </c>
      <c r="AH12">
        <v>2</v>
      </c>
      <c r="AI12">
        <v>91107274</v>
      </c>
      <c r="AJ12">
        <v>12</v>
      </c>
      <c r="AK12">
        <v>0</v>
      </c>
      <c r="AL12">
        <v>0</v>
      </c>
      <c r="AM12">
        <v>0</v>
      </c>
      <c r="AN12">
        <v>0</v>
      </c>
      <c r="AO12">
        <v>0</v>
      </c>
      <c r="AP12">
        <v>0</v>
      </c>
      <c r="AQ12">
        <v>0</v>
      </c>
      <c r="AR12">
        <v>0</v>
      </c>
    </row>
    <row r="13" spans="1:44" x14ac:dyDescent="0.2">
      <c r="A13">
        <f>ROW(Source!A26)</f>
        <v>26</v>
      </c>
      <c r="B13">
        <v>91107275</v>
      </c>
      <c r="C13">
        <v>91107270</v>
      </c>
      <c r="D13">
        <v>88691762</v>
      </c>
      <c r="E13">
        <v>1</v>
      </c>
      <c r="F13">
        <v>1</v>
      </c>
      <c r="G13">
        <v>1074</v>
      </c>
      <c r="H13">
        <v>3</v>
      </c>
      <c r="I13" t="s">
        <v>120</v>
      </c>
      <c r="J13" t="s">
        <v>121</v>
      </c>
      <c r="K13" t="s">
        <v>122</v>
      </c>
      <c r="L13">
        <v>1348</v>
      </c>
      <c r="N13">
        <v>1009</v>
      </c>
      <c r="O13" t="s">
        <v>112</v>
      </c>
      <c r="P13" t="s">
        <v>112</v>
      </c>
      <c r="Q13">
        <v>1000</v>
      </c>
      <c r="X13">
        <v>9.9999999999999995E-7</v>
      </c>
      <c r="Y13">
        <v>18054.14</v>
      </c>
      <c r="Z13">
        <v>0</v>
      </c>
      <c r="AA13">
        <v>0</v>
      </c>
      <c r="AB13">
        <v>0</v>
      </c>
      <c r="AC13">
        <v>0</v>
      </c>
      <c r="AD13">
        <v>1</v>
      </c>
      <c r="AE13">
        <v>0</v>
      </c>
      <c r="AF13" t="s">
        <v>3</v>
      </c>
      <c r="AG13">
        <v>9.9999999999999995E-7</v>
      </c>
      <c r="AH13">
        <v>2</v>
      </c>
      <c r="AI13">
        <v>91107275</v>
      </c>
      <c r="AJ13">
        <v>13</v>
      </c>
      <c r="AK13">
        <v>0</v>
      </c>
      <c r="AL13">
        <v>0</v>
      </c>
      <c r="AM13">
        <v>0</v>
      </c>
      <c r="AN13">
        <v>0</v>
      </c>
      <c r="AO13">
        <v>0</v>
      </c>
      <c r="AP13">
        <v>0</v>
      </c>
      <c r="AQ13">
        <v>0</v>
      </c>
      <c r="AR13">
        <v>0</v>
      </c>
    </row>
  </sheetData>
  <printOptions gridLines="1"/>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9" sqref="A99:AX99"/>
    </sheetView>
  </sheetViews>
  <sheetFormatPr defaultColWidth="9.140625" defaultRowHeight="12.75" x14ac:dyDescent="0.2"/>
  <cols>
    <col min="1" max="256" width="9.140625" customWidth="1"/>
  </cols>
  <sheetData/>
  <printOptions gridLines="1"/>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12"/>
  <sheetViews>
    <sheetView workbookViewId="0">
      <selection activeCell="A99" sqref="A99:AX99"/>
    </sheetView>
  </sheetViews>
  <sheetFormatPr defaultColWidth="9.140625" defaultRowHeight="12.75" x14ac:dyDescent="0.2"/>
  <cols>
    <col min="1" max="256" width="9.140625" customWidth="1"/>
  </cols>
  <sheetData>
    <row r="1" spans="1:103" x14ac:dyDescent="0.2">
      <c r="A1">
        <v>0</v>
      </c>
      <c r="B1" t="s">
        <v>0</v>
      </c>
      <c r="D1" t="s">
        <v>1</v>
      </c>
      <c r="F1">
        <v>0</v>
      </c>
      <c r="G1">
        <v>0</v>
      </c>
      <c r="H1">
        <v>0</v>
      </c>
      <c r="I1" t="s">
        <v>2</v>
      </c>
      <c r="J1" t="s">
        <v>3</v>
      </c>
      <c r="K1">
        <v>1</v>
      </c>
      <c r="L1">
        <v>66899</v>
      </c>
      <c r="M1">
        <v>10</v>
      </c>
      <c r="N1">
        <v>11</v>
      </c>
      <c r="O1">
        <v>11</v>
      </c>
      <c r="P1">
        <v>0</v>
      </c>
      <c r="Q1">
        <v>0</v>
      </c>
    </row>
    <row r="12" spans="1:103" x14ac:dyDescent="0.2">
      <c r="F12" t="str">
        <f>Source!F12</f>
        <v>Новый объект</v>
      </c>
      <c r="G12" t="str">
        <f>Source!G12</f>
        <v>№272-26.12.24 Р ТСН Смета на обслуживание шлагбаумов (Вячеслав Козлов)</v>
      </c>
      <c r="AB12" t="s">
        <v>3</v>
      </c>
      <c r="AC12" t="s">
        <v>3</v>
      </c>
      <c r="AD12" t="s">
        <v>3</v>
      </c>
      <c r="AE12" t="s">
        <v>3</v>
      </c>
      <c r="AH12" t="s">
        <v>3</v>
      </c>
      <c r="AI12" t="s">
        <v>3</v>
      </c>
      <c r="CY12">
        <f>Source!CY12</f>
        <v>0</v>
      </c>
    </row>
  </sheetData>
  <printOptions gridLines="1"/>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02-01-01</vt:lpstr>
      <vt:lpstr>Коммерческая смета</vt:lpstr>
      <vt:lpstr>Source</vt:lpstr>
      <vt:lpstr>SourceObSm</vt:lpstr>
      <vt:lpstr>SmtRes</vt:lpstr>
      <vt:lpstr>EtalonRes</vt:lpstr>
      <vt:lpstr>SrcPoprs</vt:lpstr>
      <vt:lpstr>SrcKA</vt:lpstr>
      <vt:lpstr>'02-01-01'!Заголовки_для_печати</vt:lpstr>
      <vt:lpstr>'Коммерческая смета'!Заголовки_для_печати</vt:lpstr>
      <vt:lpstr>'02-01-01'!Область_печати</vt:lpstr>
      <vt:lpstr>'Коммерческая смета'!Область_печати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Татьяна Сыркина</cp:lastModifiedBy>
  <dcterms:created xsi:type="dcterms:W3CDTF">2024-12-28T07:24:32Z</dcterms:created>
  <dcterms:modified xsi:type="dcterms:W3CDTF">2024-12-28T07:31:28Z</dcterms:modified>
</cp:coreProperties>
</file>